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3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4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E 4.00\IE\2017 Drip and Microirrigation DU Evaluation Program\"/>
    </mc:Choice>
  </mc:AlternateContent>
  <workbookProtection workbookPassword="BF01" lockStructure="1"/>
  <bookViews>
    <workbookView xWindow="0" yWindow="75" windowWidth="17655" windowHeight="10095" tabRatio="643"/>
  </bookViews>
  <sheets>
    <sheet name="Data" sheetId="1" r:id="rId1"/>
    <sheet name="Error Check Table-Hidden" sheetId="11" state="hidden" r:id="rId2"/>
    <sheet name="Error Check" sheetId="10" r:id="rId3"/>
    <sheet name="Results-Hidden" sheetId="23" state="hidden" r:id="rId4"/>
    <sheet name="Scheduling-Hidden" sheetId="16" state="hidden" r:id="rId5"/>
    <sheet name="Problems-hidden" sheetId="19" state="hidden" r:id="rId6"/>
    <sheet name="Results,Scheduling,Problems" sheetId="15" r:id="rId7"/>
    <sheet name="Other Computations-Hidden" sheetId="20" state="hidden" r:id="rId8"/>
    <sheet name="DU Computations-Hidden" sheetId="5" state="hidden" r:id="rId9"/>
    <sheet name="Lists-Hidden" sheetId="2" state="hidden" r:id="rId10"/>
    <sheet name="Notes-Hidden" sheetId="14" state="hidden" r:id="rId11"/>
  </sheets>
  <definedNames>
    <definedName name="EmitterPath">'Lists-Hidden'!$B$9:$B$16</definedName>
    <definedName name="EmitterPathType" localSheetId="9">'Lists-Hidden'!$B$9:$B$16</definedName>
    <definedName name="EmitterPathType">'Lists-Hidden'!$B$9:$B$15</definedName>
    <definedName name="ErrorCheckTable">'Error Check Table-Hidden'!$B:$E</definedName>
    <definedName name="Field_ID">Data!$E$2</definedName>
    <definedName name="Frequency">'Lists-Hidden'!$B$44:$B$47</definedName>
    <definedName name="Injector">'Lists-Hidden'!$B$20:$B$22</definedName>
    <definedName name="_xlnm.Print_Area" localSheetId="0">Data!$C$1:$F$562</definedName>
    <definedName name="_xlnm.Print_Area" localSheetId="2">'Error Check'!$A$1:$D$49</definedName>
    <definedName name="_xlnm.Print_Area" localSheetId="6">'Results,Scheduling,Problems'!$A$1:$O$39</definedName>
    <definedName name="ProblemsTable">'Problems-hidden'!$B$5:$L$73</definedName>
    <definedName name="Results">'Results-Hidden'!$B$5:$L$29</definedName>
    <definedName name="ResultsTable">'Problems-hidden'!$B$4:$L$73</definedName>
    <definedName name="Scale">'Lists-Hidden'!$B$51:$B$54</definedName>
    <definedName name="Table1">'DU Computations-Hidden'!$J$108:$K$125</definedName>
    <definedName name="Test">'Lists-Hidden'!$D$3:$D$4</definedName>
    <definedName name="UnitsNominalFlow">'Lists-Hidden'!$B$3:$B$4</definedName>
    <definedName name="WaterSource">'Lists-Hidden'!$B$58:$B$60</definedName>
    <definedName name="YesNo">'Lists-Hidden'!$D$3:$D$4</definedName>
  </definedNames>
  <calcPr calcId="171027"/>
</workbook>
</file>

<file path=xl/calcChain.xml><?xml version="1.0" encoding="utf-8"?>
<calcChain xmlns="http://schemas.openxmlformats.org/spreadsheetml/2006/main">
  <c r="A7" i="11" l="1"/>
  <c r="A4" i="11"/>
  <c r="A3" i="11"/>
  <c r="C3" i="1"/>
  <c r="L482" i="5" l="1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A18" i="11"/>
  <c r="A191" i="11"/>
  <c r="A190" i="11"/>
  <c r="A189" i="11"/>
  <c r="A188" i="11"/>
  <c r="A187" i="11"/>
  <c r="A364" i="11"/>
  <c r="A386" i="11"/>
  <c r="A385" i="11"/>
  <c r="A408" i="11"/>
  <c r="A407" i="11"/>
  <c r="A433" i="11"/>
  <c r="A432" i="11"/>
  <c r="A431" i="11"/>
  <c r="A430" i="11"/>
  <c r="A429" i="11"/>
  <c r="A428" i="11"/>
  <c r="A427" i="11"/>
  <c r="A426" i="11"/>
  <c r="A425" i="11"/>
  <c r="A424" i="11"/>
  <c r="A363" i="11"/>
  <c r="A54" i="11"/>
  <c r="A53" i="11"/>
  <c r="A52" i="11"/>
  <c r="A51" i="11"/>
  <c r="A13" i="11"/>
  <c r="B35" i="11"/>
  <c r="A35" i="11"/>
  <c r="A34" i="11"/>
  <c r="A236" i="11"/>
  <c r="A235" i="11"/>
  <c r="B235" i="11" s="1"/>
  <c r="A234" i="11"/>
  <c r="B228" i="11" s="1"/>
  <c r="A233" i="11"/>
  <c r="B233" i="11" s="1"/>
  <c r="A232" i="11"/>
  <c r="A231" i="11"/>
  <c r="B231" i="11" s="1"/>
  <c r="A230" i="11"/>
  <c r="A229" i="11"/>
  <c r="B229" i="11" s="1"/>
  <c r="A228" i="11"/>
  <c r="A227" i="11"/>
  <c r="B227" i="11" s="1"/>
  <c r="A226" i="11"/>
  <c r="A225" i="11"/>
  <c r="B225" i="11" s="1"/>
  <c r="A224" i="11"/>
  <c r="A223" i="11"/>
  <c r="B223" i="11" s="1"/>
  <c r="A222" i="11"/>
  <c r="A221" i="11"/>
  <c r="B221" i="11" s="1"/>
  <c r="A220" i="11"/>
  <c r="A219" i="11"/>
  <c r="B219" i="11" s="1"/>
  <c r="A218" i="11"/>
  <c r="A217" i="11"/>
  <c r="B217" i="11" s="1"/>
  <c r="A216" i="11"/>
  <c r="A215" i="11"/>
  <c r="A214" i="11"/>
  <c r="A213" i="11"/>
  <c r="B213" i="11" s="1"/>
  <c r="A212" i="11"/>
  <c r="A211" i="11"/>
  <c r="B211" i="11" s="1"/>
  <c r="A210" i="11"/>
  <c r="A209" i="11"/>
  <c r="B209" i="11" s="1"/>
  <c r="A208" i="11"/>
  <c r="A207" i="11"/>
  <c r="B207" i="11" s="1"/>
  <c r="A206" i="11"/>
  <c r="A205" i="11"/>
  <c r="B205" i="11" s="1"/>
  <c r="A204" i="11"/>
  <c r="A203" i="11"/>
  <c r="B203" i="11" s="1"/>
  <c r="A202" i="11"/>
  <c r="A201" i="11"/>
  <c r="A200" i="11"/>
  <c r="A199" i="11"/>
  <c r="B199" i="11" s="1"/>
  <c r="A198" i="11"/>
  <c r="A197" i="11"/>
  <c r="B197" i="11" s="1"/>
  <c r="A196" i="11"/>
  <c r="A195" i="11"/>
  <c r="B195" i="11" s="1"/>
  <c r="A194" i="11"/>
  <c r="A193" i="11"/>
  <c r="B193" i="11" s="1"/>
  <c r="A192" i="11"/>
  <c r="A186" i="11"/>
  <c r="B186" i="11" s="1"/>
  <c r="A185" i="11"/>
  <c r="A184" i="11"/>
  <c r="B184" i="11" s="1"/>
  <c r="A183" i="11"/>
  <c r="A182" i="11"/>
  <c r="B182" i="11" s="1"/>
  <c r="A181" i="11"/>
  <c r="A180" i="11"/>
  <c r="B180" i="11" s="1"/>
  <c r="A179" i="11"/>
  <c r="A178" i="11"/>
  <c r="A177" i="11"/>
  <c r="A176" i="11"/>
  <c r="B176" i="11" s="1"/>
  <c r="A175" i="11"/>
  <c r="A174" i="11"/>
  <c r="B174" i="11" s="1"/>
  <c r="A173" i="11"/>
  <c r="A172" i="11"/>
  <c r="B172" i="11" s="1"/>
  <c r="A171" i="11"/>
  <c r="A170" i="11"/>
  <c r="A169" i="11"/>
  <c r="A168" i="11"/>
  <c r="B168" i="11" s="1"/>
  <c r="A167" i="11"/>
  <c r="A166" i="11"/>
  <c r="B166" i="11" s="1"/>
  <c r="A165" i="11"/>
  <c r="A164" i="11"/>
  <c r="B164" i="11" s="1"/>
  <c r="A163" i="11"/>
  <c r="A162" i="11"/>
  <c r="A161" i="11"/>
  <c r="A160" i="11"/>
  <c r="A159" i="11"/>
  <c r="A158" i="11"/>
  <c r="B158" i="11" s="1"/>
  <c r="A157" i="11"/>
  <c r="A156" i="11"/>
  <c r="A155" i="11"/>
  <c r="A154" i="11"/>
  <c r="B154" i="11" s="1"/>
  <c r="A153" i="11"/>
  <c r="A152" i="11"/>
  <c r="B152" i="11" s="1"/>
  <c r="A151" i="11"/>
  <c r="A150" i="11"/>
  <c r="B150" i="11" s="1"/>
  <c r="A149" i="11"/>
  <c r="A148" i="11"/>
  <c r="B148" i="11" s="1"/>
  <c r="A147" i="11"/>
  <c r="A146" i="11"/>
  <c r="B146" i="11" s="1"/>
  <c r="A145" i="11"/>
  <c r="A144" i="11"/>
  <c r="B144" i="11" s="1"/>
  <c r="A143" i="11"/>
  <c r="A142" i="11"/>
  <c r="B142" i="11" s="1"/>
  <c r="A141" i="11"/>
  <c r="A140" i="11"/>
  <c r="B140" i="11" s="1"/>
  <c r="A139" i="11"/>
  <c r="A138" i="11"/>
  <c r="A137" i="11"/>
  <c r="A136" i="11"/>
  <c r="B136" i="11" s="1"/>
  <c r="A135" i="11"/>
  <c r="A134" i="11"/>
  <c r="B134" i="11" s="1"/>
  <c r="A133" i="11"/>
  <c r="A132" i="11"/>
  <c r="A131" i="11"/>
  <c r="A130" i="11"/>
  <c r="A129" i="11"/>
  <c r="A128" i="11"/>
  <c r="B128" i="11" s="1"/>
  <c r="A127" i="11"/>
  <c r="A126" i="11"/>
  <c r="A125" i="11"/>
  <c r="A124" i="11"/>
  <c r="B124" i="11" s="1"/>
  <c r="A123" i="11"/>
  <c r="A122" i="11"/>
  <c r="A121" i="11"/>
  <c r="A120" i="11"/>
  <c r="B120" i="11" s="1"/>
  <c r="A119" i="11"/>
  <c r="A118" i="11"/>
  <c r="B118" i="11" s="1"/>
  <c r="A117" i="11"/>
  <c r="A116" i="11"/>
  <c r="A115" i="11"/>
  <c r="A114" i="11"/>
  <c r="B114" i="11" s="1"/>
  <c r="A113" i="11"/>
  <c r="A112" i="11"/>
  <c r="B112" i="11" s="1"/>
  <c r="A111" i="11"/>
  <c r="A110" i="11"/>
  <c r="B110" i="11" s="1"/>
  <c r="A109" i="11"/>
  <c r="A108" i="11"/>
  <c r="A107" i="11"/>
  <c r="A106" i="11"/>
  <c r="A105" i="11"/>
  <c r="A104" i="11"/>
  <c r="B104" i="11" s="1"/>
  <c r="A103" i="11"/>
  <c r="A102" i="11"/>
  <c r="A101" i="11"/>
  <c r="A100" i="11"/>
  <c r="B100" i="11" s="1"/>
  <c r="A99" i="11"/>
  <c r="A98" i="11"/>
  <c r="A97" i="11"/>
  <c r="A96" i="11"/>
  <c r="B96" i="11" s="1"/>
  <c r="A95" i="11"/>
  <c r="A94" i="11"/>
  <c r="B94" i="11" s="1"/>
  <c r="A93" i="11"/>
  <c r="A92" i="11"/>
  <c r="B92" i="11" s="1"/>
  <c r="A91" i="11"/>
  <c r="A90" i="11"/>
  <c r="A89" i="11"/>
  <c r="A88" i="11"/>
  <c r="B88" i="11" s="1"/>
  <c r="A87" i="11"/>
  <c r="A86" i="11"/>
  <c r="B86" i="11" s="1"/>
  <c r="A85" i="11"/>
  <c r="A84" i="11"/>
  <c r="A83" i="11"/>
  <c r="A82" i="11"/>
  <c r="A81" i="11"/>
  <c r="A80" i="11"/>
  <c r="B80" i="11" s="1"/>
  <c r="A79" i="11"/>
  <c r="A78" i="11"/>
  <c r="A77" i="11"/>
  <c r="A76" i="11"/>
  <c r="B76" i="11" s="1"/>
  <c r="A75" i="11"/>
  <c r="A74" i="11"/>
  <c r="A73" i="11"/>
  <c r="A72" i="11"/>
  <c r="B72" i="11" s="1"/>
  <c r="A71" i="11"/>
  <c r="A70" i="11"/>
  <c r="B70" i="11" s="1"/>
  <c r="A69" i="11"/>
  <c r="A68" i="11"/>
  <c r="A67" i="11"/>
  <c r="A66" i="11"/>
  <c r="A65" i="11"/>
  <c r="A64" i="11"/>
  <c r="B64" i="11" s="1"/>
  <c r="A63" i="11"/>
  <c r="A62" i="11"/>
  <c r="B62" i="11" s="1"/>
  <c r="A61" i="11"/>
  <c r="A60" i="11"/>
  <c r="B60" i="11" s="1"/>
  <c r="A59" i="11"/>
  <c r="A58" i="11"/>
  <c r="A57" i="11"/>
  <c r="A56" i="11"/>
  <c r="B56" i="11" s="1"/>
  <c r="A55" i="11"/>
  <c r="A49" i="11"/>
  <c r="B49" i="11" s="1"/>
  <c r="A48" i="11"/>
  <c r="B48" i="11" s="1"/>
  <c r="A47" i="11"/>
  <c r="A46" i="11"/>
  <c r="B46" i="11" s="1"/>
  <c r="A45" i="11"/>
  <c r="A44" i="11"/>
  <c r="B44" i="11" s="1"/>
  <c r="A43" i="11"/>
  <c r="A50" i="11"/>
  <c r="A42" i="11"/>
  <c r="A41" i="11"/>
  <c r="A40" i="11"/>
  <c r="A39" i="11"/>
  <c r="A38" i="11"/>
  <c r="A37" i="11"/>
  <c r="A36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B22" i="11" s="1"/>
  <c r="A21" i="11"/>
  <c r="A20" i="11"/>
  <c r="A19" i="11"/>
  <c r="A17" i="11"/>
  <c r="A16" i="11"/>
  <c r="B16" i="11" s="1"/>
  <c r="A15" i="11"/>
  <c r="A14" i="11"/>
  <c r="A12" i="11"/>
  <c r="B12" i="11" s="1"/>
  <c r="A11" i="11"/>
  <c r="A10" i="11"/>
  <c r="A9" i="11"/>
  <c r="A8" i="11"/>
  <c r="A5" i="11"/>
  <c r="A6" i="11"/>
  <c r="A2" i="11"/>
  <c r="B2" i="11" s="1"/>
  <c r="A437" i="11"/>
  <c r="A436" i="11"/>
  <c r="A435" i="11"/>
  <c r="B435" i="11" s="1"/>
  <c r="A434" i="11"/>
  <c r="A423" i="11"/>
  <c r="A422" i="11"/>
  <c r="A421" i="11"/>
  <c r="A420" i="11"/>
  <c r="A419" i="11"/>
  <c r="B419" i="11" s="1"/>
  <c r="A418" i="11"/>
  <c r="A417" i="11"/>
  <c r="B417" i="11" s="1"/>
  <c r="A416" i="11"/>
  <c r="A415" i="11"/>
  <c r="A414" i="11"/>
  <c r="A413" i="11"/>
  <c r="B413" i="11" s="1"/>
  <c r="A412" i="11"/>
  <c r="A411" i="11"/>
  <c r="A410" i="11"/>
  <c r="B410" i="11" s="1"/>
  <c r="A409" i="11"/>
  <c r="A406" i="11"/>
  <c r="B406" i="11" s="1"/>
  <c r="A405" i="11"/>
  <c r="A404" i="11"/>
  <c r="B404" i="11" s="1"/>
  <c r="A403" i="11"/>
  <c r="A402" i="11"/>
  <c r="B402" i="11" s="1"/>
  <c r="A401" i="11"/>
  <c r="A399" i="11"/>
  <c r="B399" i="11" s="1"/>
  <c r="A398" i="11"/>
  <c r="A397" i="11"/>
  <c r="B397" i="11" s="1"/>
  <c r="A396" i="11"/>
  <c r="A395" i="11"/>
  <c r="B395" i="11" s="1"/>
  <c r="A394" i="11"/>
  <c r="A393" i="11"/>
  <c r="B393" i="11" s="1"/>
  <c r="A392" i="11"/>
  <c r="A391" i="11"/>
  <c r="A390" i="11"/>
  <c r="A389" i="11"/>
  <c r="A388" i="11"/>
  <c r="A387" i="11"/>
  <c r="A384" i="11"/>
  <c r="A383" i="11"/>
  <c r="A382" i="11"/>
  <c r="B382" i="11" s="1"/>
  <c r="A381" i="11"/>
  <c r="A380" i="11"/>
  <c r="B380" i="11" s="1"/>
  <c r="A379" i="11"/>
  <c r="A377" i="11"/>
  <c r="B377" i="11" s="1"/>
  <c r="A376" i="11"/>
  <c r="A375" i="11"/>
  <c r="A374" i="11"/>
  <c r="A373" i="11"/>
  <c r="A372" i="11"/>
  <c r="A371" i="11"/>
  <c r="B373" i="11" s="1"/>
  <c r="A370" i="11"/>
  <c r="A369" i="11"/>
  <c r="A368" i="11"/>
  <c r="A367" i="11"/>
  <c r="A366" i="11"/>
  <c r="A365" i="11"/>
  <c r="A362" i="11"/>
  <c r="B362" i="11" s="1"/>
  <c r="A361" i="11"/>
  <c r="A360" i="11"/>
  <c r="B360" i="11" s="1"/>
  <c r="A359" i="11"/>
  <c r="A358" i="11"/>
  <c r="B358" i="11" s="1"/>
  <c r="A357" i="11"/>
  <c r="A355" i="11"/>
  <c r="B355" i="11" s="1"/>
  <c r="A354" i="11"/>
  <c r="A353" i="11"/>
  <c r="B353" i="11" s="1"/>
  <c r="A352" i="11"/>
  <c r="A351" i="11"/>
  <c r="B351" i="11" s="1"/>
  <c r="A350" i="11"/>
  <c r="A349" i="11"/>
  <c r="B349" i="11" s="1"/>
  <c r="A348" i="11"/>
  <c r="A347" i="11"/>
  <c r="B347" i="11" s="1"/>
  <c r="A346" i="11"/>
  <c r="A345" i="11"/>
  <c r="B345" i="11" s="1"/>
  <c r="A344" i="11"/>
  <c r="A343" i="11"/>
  <c r="B343" i="11" s="1"/>
  <c r="A342" i="11"/>
  <c r="A341" i="11"/>
  <c r="B341" i="11" s="1"/>
  <c r="A340" i="11"/>
  <c r="A339" i="11"/>
  <c r="B339" i="11" s="1"/>
  <c r="A338" i="11"/>
  <c r="A337" i="11"/>
  <c r="B337" i="11" s="1"/>
  <c r="A336" i="11"/>
  <c r="A335" i="11"/>
  <c r="B335" i="11" s="1"/>
  <c r="A334" i="11"/>
  <c r="A333" i="11"/>
  <c r="B333" i="11" s="1"/>
  <c r="A332" i="11"/>
  <c r="A331" i="11"/>
  <c r="A330" i="11"/>
  <c r="A329" i="11"/>
  <c r="B329" i="11" s="1"/>
  <c r="A328" i="11"/>
  <c r="A327" i="11"/>
  <c r="B327" i="11" s="1"/>
  <c r="A326" i="11"/>
  <c r="A325" i="11"/>
  <c r="B325" i="11" s="1"/>
  <c r="A324" i="11"/>
  <c r="A323" i="11"/>
  <c r="B323" i="11" s="1"/>
  <c r="A322" i="11"/>
  <c r="A321" i="11"/>
  <c r="A320" i="11"/>
  <c r="A319" i="11"/>
  <c r="B319" i="11" s="1"/>
  <c r="A318" i="11"/>
  <c r="A317" i="11"/>
  <c r="B317" i="11" s="1"/>
  <c r="A316" i="11"/>
  <c r="A315" i="11"/>
  <c r="A314" i="11"/>
  <c r="A313" i="11"/>
  <c r="B313" i="11" s="1"/>
  <c r="A312" i="11"/>
  <c r="A311" i="11"/>
  <c r="B311" i="11" s="1"/>
  <c r="A310" i="11"/>
  <c r="A309" i="11"/>
  <c r="B309" i="11" s="1"/>
  <c r="A308" i="11"/>
  <c r="A307" i="11"/>
  <c r="B307" i="11" s="1"/>
  <c r="A306" i="11"/>
  <c r="A305" i="11"/>
  <c r="B305" i="11" s="1"/>
  <c r="A304" i="11"/>
  <c r="A303" i="11"/>
  <c r="B303" i="11" s="1"/>
  <c r="A302" i="11"/>
  <c r="A301" i="11"/>
  <c r="B301" i="11" s="1"/>
  <c r="A300" i="11"/>
  <c r="A299" i="11"/>
  <c r="B299" i="11" s="1"/>
  <c r="A298" i="11"/>
  <c r="A297" i="11"/>
  <c r="B297" i="11" s="1"/>
  <c r="A296" i="11"/>
  <c r="A295" i="11"/>
  <c r="B295" i="11" s="1"/>
  <c r="A294" i="11"/>
  <c r="A293" i="11"/>
  <c r="B293" i="11" s="1"/>
  <c r="A292" i="11"/>
  <c r="A291" i="11"/>
  <c r="B291" i="11" s="1"/>
  <c r="A290" i="11"/>
  <c r="A289" i="11"/>
  <c r="B289" i="11" s="1"/>
  <c r="A288" i="11"/>
  <c r="A287" i="11"/>
  <c r="B287" i="11" s="1"/>
  <c r="A286" i="11"/>
  <c r="A285" i="11"/>
  <c r="B285" i="11" s="1"/>
  <c r="A284" i="11"/>
  <c r="A283" i="11"/>
  <c r="B283" i="11" s="1"/>
  <c r="A282" i="11"/>
  <c r="A281" i="11"/>
  <c r="B281" i="11" s="1"/>
  <c r="A280" i="11"/>
  <c r="A279" i="11"/>
  <c r="B279" i="11" s="1"/>
  <c r="A278" i="11"/>
  <c r="A277" i="11"/>
  <c r="B277" i="11" s="1"/>
  <c r="A276" i="11"/>
  <c r="A275" i="11"/>
  <c r="B275" i="11" s="1"/>
  <c r="A274" i="11"/>
  <c r="A273" i="11"/>
  <c r="B273" i="11" s="1"/>
  <c r="A272" i="11"/>
  <c r="A271" i="11"/>
  <c r="B271" i="11" s="1"/>
  <c r="A270" i="11"/>
  <c r="A269" i="11"/>
  <c r="B269" i="11" s="1"/>
  <c r="A268" i="11"/>
  <c r="A267" i="11"/>
  <c r="B267" i="11" s="1"/>
  <c r="A266" i="11"/>
  <c r="A265" i="11"/>
  <c r="B265" i="11" s="1"/>
  <c r="A264" i="11"/>
  <c r="A263" i="11"/>
  <c r="B263" i="11" s="1"/>
  <c r="A262" i="11"/>
  <c r="A261" i="11"/>
  <c r="B261" i="11" s="1"/>
  <c r="A260" i="11"/>
  <c r="A259" i="11"/>
  <c r="B259" i="11" s="1"/>
  <c r="A258" i="11"/>
  <c r="B258" i="11" s="1"/>
  <c r="A257" i="11"/>
  <c r="B257" i="11" s="1"/>
  <c r="A256" i="11"/>
  <c r="B256" i="11" s="1"/>
  <c r="A255" i="11"/>
  <c r="B255" i="11" s="1"/>
  <c r="A254" i="11"/>
  <c r="B254" i="11" s="1"/>
  <c r="A253" i="11"/>
  <c r="B253" i="11" s="1"/>
  <c r="A252" i="11"/>
  <c r="B236" i="11" s="1"/>
  <c r="A251" i="11"/>
  <c r="B251" i="11" s="1"/>
  <c r="A250" i="11"/>
  <c r="A249" i="11"/>
  <c r="B249" i="11" s="1"/>
  <c r="A248" i="11"/>
  <c r="A247" i="11"/>
  <c r="B247" i="11" s="1"/>
  <c r="A246" i="11"/>
  <c r="A245" i="11"/>
  <c r="B245" i="11" s="1"/>
  <c r="A244" i="11"/>
  <c r="A242" i="11"/>
  <c r="A243" i="11"/>
  <c r="B243" i="11" s="1"/>
  <c r="A241" i="11"/>
  <c r="B241" i="11" s="1"/>
  <c r="A240" i="11"/>
  <c r="A239" i="11"/>
  <c r="B239" i="11" s="1"/>
  <c r="A238" i="11"/>
  <c r="A237" i="11"/>
  <c r="B237" i="11" s="1"/>
  <c r="B74" i="11"/>
  <c r="B68" i="11"/>
  <c r="B66" i="11"/>
  <c r="B423" i="11"/>
  <c r="B421" i="11"/>
  <c r="B415" i="11"/>
  <c r="B391" i="11"/>
  <c r="B384" i="11"/>
  <c r="B369" i="11"/>
  <c r="B366" i="11"/>
  <c r="B331" i="11"/>
  <c r="B321" i="11"/>
  <c r="B315" i="11"/>
  <c r="B215" i="11"/>
  <c r="B201" i="11"/>
  <c r="B188" i="11"/>
  <c r="B178" i="11"/>
  <c r="B170" i="11"/>
  <c r="B162" i="11"/>
  <c r="B160" i="11"/>
  <c r="B156" i="11"/>
  <c r="B138" i="11"/>
  <c r="B132" i="11"/>
  <c r="B130" i="11"/>
  <c r="B126" i="11"/>
  <c r="B122" i="11"/>
  <c r="B116" i="11"/>
  <c r="B108" i="11"/>
  <c r="B106" i="11"/>
  <c r="B102" i="11"/>
  <c r="B98" i="11"/>
  <c r="B90" i="11"/>
  <c r="B84" i="11"/>
  <c r="B82" i="11"/>
  <c r="B78" i="11"/>
  <c r="B58" i="11"/>
  <c r="B47" i="11"/>
  <c r="B191" i="11"/>
  <c r="B379" i="11"/>
  <c r="B381" i="11"/>
  <c r="B383" i="11"/>
  <c r="B420" i="11"/>
  <c r="B418" i="11"/>
  <c r="B416" i="11"/>
  <c r="B414" i="11"/>
  <c r="B412" i="11"/>
  <c r="B405" i="11"/>
  <c r="B403" i="11"/>
  <c r="B401" i="11"/>
  <c r="B398" i="11"/>
  <c r="B396" i="11"/>
  <c r="B394" i="11"/>
  <c r="B392" i="11"/>
  <c r="B390" i="11"/>
  <c r="D281" i="1"/>
  <c r="C175" i="20"/>
  <c r="C173" i="20"/>
  <c r="C174" i="20" s="1"/>
  <c r="B120" i="20"/>
  <c r="E116" i="20"/>
  <c r="E115" i="20"/>
  <c r="B33" i="19"/>
  <c r="B69" i="19"/>
  <c r="B70" i="19"/>
  <c r="B71" i="19"/>
  <c r="B72" i="19"/>
  <c r="B73" i="19"/>
  <c r="B26" i="23"/>
  <c r="B4" i="19"/>
  <c r="C5" i="19"/>
  <c r="C6" i="19" s="1"/>
  <c r="C7" i="19" s="1"/>
  <c r="C8" i="19" s="1"/>
  <c r="C9" i="19" s="1"/>
  <c r="C10" i="19" s="1"/>
  <c r="G6" i="19"/>
  <c r="G7" i="19" s="1"/>
  <c r="G8" i="19" s="1"/>
  <c r="G9" i="19" s="1"/>
  <c r="C5" i="23"/>
  <c r="C6" i="23" s="1"/>
  <c r="C7" i="23" s="1"/>
  <c r="C197" i="20"/>
  <c r="C196" i="20"/>
  <c r="C195" i="20"/>
  <c r="G197" i="20"/>
  <c r="G196" i="20"/>
  <c r="G195" i="20"/>
  <c r="G198" i="20" s="1"/>
  <c r="H198" i="20" s="1"/>
  <c r="E197" i="20"/>
  <c r="E196" i="20"/>
  <c r="E195" i="20"/>
  <c r="E56" i="19"/>
  <c r="S163" i="20"/>
  <c r="R163" i="20"/>
  <c r="P163" i="20"/>
  <c r="O163" i="20"/>
  <c r="M163" i="20"/>
  <c r="L163" i="20"/>
  <c r="J163" i="20"/>
  <c r="I163" i="20"/>
  <c r="G163" i="20"/>
  <c r="F163" i="20"/>
  <c r="D163" i="20"/>
  <c r="C163" i="20"/>
  <c r="B189" i="11"/>
  <c r="B190" i="11"/>
  <c r="E53" i="19"/>
  <c r="B53" i="19" s="1"/>
  <c r="C155" i="20"/>
  <c r="C153" i="20"/>
  <c r="C154" i="20" s="1"/>
  <c r="C177" i="20"/>
  <c r="C176" i="20"/>
  <c r="C156" i="20"/>
  <c r="E27" i="19"/>
  <c r="E67" i="19"/>
  <c r="B67" i="19" s="1"/>
  <c r="E63" i="19"/>
  <c r="E61" i="19"/>
  <c r="E60" i="19"/>
  <c r="B60" i="19" s="1"/>
  <c r="E59" i="19"/>
  <c r="B59" i="19" s="1"/>
  <c r="E58" i="19"/>
  <c r="B58" i="19" s="1"/>
  <c r="I185" i="20"/>
  <c r="L185" i="20"/>
  <c r="O185" i="20"/>
  <c r="R185" i="20"/>
  <c r="S185" i="20"/>
  <c r="S184" i="20"/>
  <c r="R184" i="20"/>
  <c r="P185" i="20"/>
  <c r="P184" i="20"/>
  <c r="O184" i="20"/>
  <c r="M185" i="20"/>
  <c r="M184" i="20"/>
  <c r="L184" i="20"/>
  <c r="J185" i="20"/>
  <c r="J184" i="20"/>
  <c r="I184" i="20"/>
  <c r="F185" i="20"/>
  <c r="C185" i="20"/>
  <c r="G185" i="20"/>
  <c r="G184" i="20"/>
  <c r="F184" i="20"/>
  <c r="D185" i="20"/>
  <c r="D184" i="20"/>
  <c r="C184" i="20"/>
  <c r="E32" i="19"/>
  <c r="B32" i="19" s="1"/>
  <c r="E31" i="19"/>
  <c r="B31" i="19" s="1"/>
  <c r="E30" i="19"/>
  <c r="C157" i="20"/>
  <c r="I43" i="20"/>
  <c r="G25" i="23" s="1"/>
  <c r="E33" i="20"/>
  <c r="C34" i="20" s="1"/>
  <c r="E29" i="20"/>
  <c r="C30" i="20" s="1"/>
  <c r="E25" i="20"/>
  <c r="I147" i="20"/>
  <c r="D148" i="20" s="1"/>
  <c r="D143" i="20"/>
  <c r="D142" i="20"/>
  <c r="D141" i="20"/>
  <c r="D106" i="20"/>
  <c r="D105" i="20"/>
  <c r="D104" i="20"/>
  <c r="D103" i="20"/>
  <c r="D102" i="20"/>
  <c r="F16" i="20"/>
  <c r="E15" i="20"/>
  <c r="F15" i="20" s="1"/>
  <c r="E14" i="20"/>
  <c r="F14" i="20" s="1"/>
  <c r="E13" i="20"/>
  <c r="F13" i="20" s="1"/>
  <c r="E12" i="20"/>
  <c r="F12" i="20" s="1"/>
  <c r="E11" i="20"/>
  <c r="F11" i="20" s="1"/>
  <c r="E6" i="20"/>
  <c r="E5" i="20"/>
  <c r="D103" i="5"/>
  <c r="C428" i="5" s="1"/>
  <c r="D104" i="5"/>
  <c r="C429" i="5" s="1"/>
  <c r="D105" i="5"/>
  <c r="C430" i="5" s="1"/>
  <c r="D106" i="5"/>
  <c r="C431" i="5" s="1"/>
  <c r="D107" i="5"/>
  <c r="C432" i="5" s="1"/>
  <c r="D108" i="5"/>
  <c r="C433" i="5" s="1"/>
  <c r="D109" i="5"/>
  <c r="C434" i="5" s="1"/>
  <c r="D110" i="5"/>
  <c r="C435" i="5" s="1"/>
  <c r="D111" i="5"/>
  <c r="C436" i="5" s="1"/>
  <c r="D112" i="5"/>
  <c r="C437" i="5" s="1"/>
  <c r="D113" i="5"/>
  <c r="C438" i="5" s="1"/>
  <c r="D114" i="5"/>
  <c r="C439" i="5" s="1"/>
  <c r="D115" i="5"/>
  <c r="C440" i="5" s="1"/>
  <c r="D116" i="5"/>
  <c r="C441" i="5" s="1"/>
  <c r="D117" i="5"/>
  <c r="C442" i="5" s="1"/>
  <c r="D118" i="5"/>
  <c r="C443" i="5" s="1"/>
  <c r="D119" i="5"/>
  <c r="C444" i="5" s="1"/>
  <c r="D120" i="5"/>
  <c r="C445" i="5" s="1"/>
  <c r="D121" i="5"/>
  <c r="C446" i="5" s="1"/>
  <c r="D122" i="5"/>
  <c r="C447" i="5" s="1"/>
  <c r="D123" i="5"/>
  <c r="C448" i="5" s="1"/>
  <c r="D124" i="5"/>
  <c r="C449" i="5" s="1"/>
  <c r="D125" i="5"/>
  <c r="C450" i="5" s="1"/>
  <c r="D126" i="5"/>
  <c r="C451" i="5" s="1"/>
  <c r="D127" i="5"/>
  <c r="C452" i="5" s="1"/>
  <c r="D128" i="5"/>
  <c r="C453" i="5" s="1"/>
  <c r="D129" i="5"/>
  <c r="C454" i="5" s="1"/>
  <c r="D102" i="5"/>
  <c r="C427" i="5" s="1"/>
  <c r="B388" i="11" l="1"/>
  <c r="B238" i="11"/>
  <c r="E427" i="5"/>
  <c r="B248" i="11"/>
  <c r="B244" i="11"/>
  <c r="B371" i="11"/>
  <c r="B240" i="11"/>
  <c r="E447" i="5"/>
  <c r="E432" i="5"/>
  <c r="E450" i="5"/>
  <c r="E451" i="5"/>
  <c r="E443" i="5"/>
  <c r="E435" i="5"/>
  <c r="E431" i="5"/>
  <c r="E440" i="5"/>
  <c r="E434" i="5"/>
  <c r="E436" i="5"/>
  <c r="E439" i="5"/>
  <c r="E448" i="5"/>
  <c r="E442" i="5"/>
  <c r="E452" i="5"/>
  <c r="E444" i="5"/>
  <c r="E428" i="5"/>
  <c r="E454" i="5"/>
  <c r="E446" i="5"/>
  <c r="E438" i="5"/>
  <c r="E430" i="5"/>
  <c r="E441" i="5"/>
  <c r="B242" i="11"/>
  <c r="E433" i="5"/>
  <c r="E453" i="5"/>
  <c r="B437" i="11"/>
  <c r="B246" i="11"/>
  <c r="E429" i="5"/>
  <c r="E449" i="5"/>
  <c r="B375" i="11"/>
  <c r="B250" i="11"/>
  <c r="E437" i="5"/>
  <c r="E445" i="5"/>
  <c r="B252" i="11"/>
  <c r="B234" i="11"/>
  <c r="B230" i="11"/>
  <c r="B232" i="11"/>
  <c r="E198" i="20"/>
  <c r="F198" i="20" s="1"/>
  <c r="B56" i="19"/>
  <c r="C11" i="19"/>
  <c r="C12" i="19" s="1"/>
  <c r="C13" i="19" s="1"/>
  <c r="C14" i="19" s="1"/>
  <c r="C15" i="19" s="1"/>
  <c r="C16" i="19" s="1"/>
  <c r="B127" i="20"/>
  <c r="C198" i="20"/>
  <c r="E68" i="19" s="1"/>
  <c r="G14" i="19"/>
  <c r="G16" i="19" s="1"/>
  <c r="G20" i="19" s="1"/>
  <c r="G22" i="19" s="1"/>
  <c r="G23" i="19" s="1"/>
  <c r="G24" i="19" s="1"/>
  <c r="B5" i="23"/>
  <c r="C8" i="23"/>
  <c r="C9" i="23" s="1"/>
  <c r="C10" i="23" s="1"/>
  <c r="B7" i="23"/>
  <c r="B6" i="23"/>
  <c r="E57" i="19"/>
  <c r="B57" i="19" s="1"/>
  <c r="E62" i="19"/>
  <c r="C166" i="20"/>
  <c r="F167" i="20"/>
  <c r="I166" i="20"/>
  <c r="L167" i="20"/>
  <c r="O166" i="20"/>
  <c r="R167" i="20"/>
  <c r="C164" i="20"/>
  <c r="C165" i="20" s="1"/>
  <c r="F164" i="20"/>
  <c r="F165" i="20" s="1"/>
  <c r="I164" i="20"/>
  <c r="I165" i="20" s="1"/>
  <c r="L164" i="20"/>
  <c r="L165" i="20" s="1"/>
  <c r="O164" i="20"/>
  <c r="O165" i="20" s="1"/>
  <c r="R164" i="20"/>
  <c r="R165" i="20" s="1"/>
  <c r="C167" i="20"/>
  <c r="I167" i="20"/>
  <c r="O167" i="20"/>
  <c r="O168" i="20" s="1"/>
  <c r="F166" i="20"/>
  <c r="L166" i="20"/>
  <c r="R166" i="20"/>
  <c r="J186" i="20"/>
  <c r="D186" i="20"/>
  <c r="S186" i="20"/>
  <c r="P186" i="20"/>
  <c r="M186" i="20"/>
  <c r="G186" i="20"/>
  <c r="C179" i="20"/>
  <c r="L186" i="20"/>
  <c r="R186" i="20"/>
  <c r="C159" i="20"/>
  <c r="G13" i="23" s="1"/>
  <c r="O186" i="20"/>
  <c r="I186" i="20"/>
  <c r="F186" i="20"/>
  <c r="C186" i="20"/>
  <c r="C7" i="20"/>
  <c r="F17" i="20"/>
  <c r="C19" i="20" s="1"/>
  <c r="E66" i="19" s="1"/>
  <c r="E65" i="19" s="1"/>
  <c r="D107" i="20"/>
  <c r="C86" i="16"/>
  <c r="E5" i="16"/>
  <c r="F5" i="16" s="1"/>
  <c r="G5" i="16" s="1"/>
  <c r="E6" i="16"/>
  <c r="B40" i="16" s="1"/>
  <c r="B5" i="16"/>
  <c r="C62" i="16" s="1"/>
  <c r="B6" i="16"/>
  <c r="C63" i="16" s="1"/>
  <c r="C5" i="16"/>
  <c r="C6" i="16"/>
  <c r="D5" i="16"/>
  <c r="B62" i="16" s="1"/>
  <c r="D6" i="16"/>
  <c r="B63" i="16" s="1"/>
  <c r="L6" i="16"/>
  <c r="L5" i="16"/>
  <c r="K6" i="16"/>
  <c r="K5" i="16"/>
  <c r="J6" i="16"/>
  <c r="J5" i="16"/>
  <c r="I6" i="16"/>
  <c r="I5" i="16"/>
  <c r="H6" i="16"/>
  <c r="H5" i="16"/>
  <c r="L4" i="16"/>
  <c r="K4" i="16"/>
  <c r="J4" i="16"/>
  <c r="I4" i="16"/>
  <c r="K5" i="15" s="1"/>
  <c r="H4" i="16"/>
  <c r="D4" i="16"/>
  <c r="B61" i="16" s="1"/>
  <c r="C4" i="16"/>
  <c r="B4" i="16"/>
  <c r="C61" i="16" s="1"/>
  <c r="D441" i="5" l="1"/>
  <c r="D454" i="5"/>
  <c r="D434" i="5"/>
  <c r="D447" i="5"/>
  <c r="D449" i="5"/>
  <c r="D430" i="5"/>
  <c r="D448" i="5"/>
  <c r="D427" i="5"/>
  <c r="D437" i="5"/>
  <c r="D433" i="5"/>
  <c r="D438" i="5"/>
  <c r="D444" i="5"/>
  <c r="D439" i="5"/>
  <c r="D431" i="5"/>
  <c r="D450" i="5"/>
  <c r="D442" i="5"/>
  <c r="D443" i="5"/>
  <c r="D445" i="5"/>
  <c r="D453" i="5"/>
  <c r="D428" i="5"/>
  <c r="D440" i="5"/>
  <c r="D451" i="5"/>
  <c r="D429" i="5"/>
  <c r="D446" i="5"/>
  <c r="D452" i="5"/>
  <c r="D436" i="5"/>
  <c r="D435" i="5"/>
  <c r="D432" i="5"/>
  <c r="B9" i="23"/>
  <c r="B8" i="23"/>
  <c r="C168" i="20"/>
  <c r="C180" i="20"/>
  <c r="G26" i="19"/>
  <c r="G27" i="19" s="1"/>
  <c r="G30" i="19" s="1"/>
  <c r="G31" i="19" s="1"/>
  <c r="G32" i="19" s="1"/>
  <c r="G34" i="19" s="1"/>
  <c r="G38" i="19" s="1"/>
  <c r="G39" i="19" s="1"/>
  <c r="G41" i="19" s="1"/>
  <c r="G42" i="19" s="1"/>
  <c r="G44" i="19" s="1"/>
  <c r="G47" i="19" s="1"/>
  <c r="G51" i="19" s="1"/>
  <c r="C11" i="23"/>
  <c r="C12" i="23" s="1"/>
  <c r="B10" i="23"/>
  <c r="C26" i="20"/>
  <c r="C36" i="20" s="1"/>
  <c r="B66" i="19"/>
  <c r="I168" i="20"/>
  <c r="R168" i="20"/>
  <c r="F168" i="20"/>
  <c r="L168" i="20"/>
  <c r="M23" i="15"/>
  <c r="L23" i="15"/>
  <c r="C160" i="20"/>
  <c r="C21" i="20"/>
  <c r="E188" i="20"/>
  <c r="G14" i="23" s="1"/>
  <c r="K23" i="15"/>
  <c r="M22" i="15"/>
  <c r="B25" i="16"/>
  <c r="M5" i="15"/>
  <c r="L22" i="15"/>
  <c r="B24" i="16"/>
  <c r="L5" i="15"/>
  <c r="K22" i="15"/>
  <c r="B23" i="16"/>
  <c r="F6" i="16"/>
  <c r="G6" i="16" s="1"/>
  <c r="B19" i="16"/>
  <c r="B18" i="16"/>
  <c r="B66" i="16"/>
  <c r="B39" i="16"/>
  <c r="C39" i="16"/>
  <c r="B20" i="16"/>
  <c r="C39" i="20" l="1"/>
  <c r="G23" i="23" s="1"/>
  <c r="B31" i="16"/>
  <c r="B113" i="16" s="1"/>
  <c r="C13" i="23"/>
  <c r="B29" i="16"/>
  <c r="B111" i="16" s="1"/>
  <c r="B30" i="16"/>
  <c r="B112" i="16" s="1"/>
  <c r="G53" i="19"/>
  <c r="E170" i="20"/>
  <c r="E18" i="19" s="1"/>
  <c r="C40" i="16"/>
  <c r="E39" i="16"/>
  <c r="B49" i="16" s="1"/>
  <c r="D39" i="16"/>
  <c r="C14" i="23" l="1"/>
  <c r="B13" i="23"/>
  <c r="E64" i="19"/>
  <c r="E55" i="19" s="1"/>
  <c r="E54" i="19" s="1"/>
  <c r="D31" i="16"/>
  <c r="M6" i="15"/>
  <c r="K6" i="15"/>
  <c r="D29" i="16"/>
  <c r="D30" i="16"/>
  <c r="L6" i="15"/>
  <c r="G56" i="19"/>
  <c r="G58" i="19" s="1"/>
  <c r="G59" i="19" s="1"/>
  <c r="G60" i="19" s="1"/>
  <c r="G61" i="19" s="1"/>
  <c r="G63" i="19" s="1"/>
  <c r="G64" i="19" s="1"/>
  <c r="G66" i="19" s="1"/>
  <c r="G67" i="19" s="1"/>
  <c r="G68" i="19" s="1"/>
  <c r="E24" i="19"/>
  <c r="E26" i="19"/>
  <c r="B26" i="19" s="1"/>
  <c r="E23" i="19"/>
  <c r="B23" i="19" s="1"/>
  <c r="E20" i="19"/>
  <c r="E22" i="19"/>
  <c r="B22" i="19" s="1"/>
  <c r="M19" i="15"/>
  <c r="L19" i="15"/>
  <c r="L7" i="15"/>
  <c r="C49" i="16"/>
  <c r="K19" i="15"/>
  <c r="D40" i="16"/>
  <c r="E40" i="16"/>
  <c r="B50" i="16" s="1"/>
  <c r="F39" i="16"/>
  <c r="C15" i="23" l="1"/>
  <c r="B14" i="23"/>
  <c r="E25" i="19"/>
  <c r="E21" i="19"/>
  <c r="C50" i="16"/>
  <c r="M7" i="15"/>
  <c r="F40" i="16"/>
  <c r="J540" i="5"/>
  <c r="I540" i="5"/>
  <c r="C540" i="5"/>
  <c r="J539" i="5"/>
  <c r="I539" i="5"/>
  <c r="C539" i="5"/>
  <c r="C538" i="5"/>
  <c r="J535" i="5"/>
  <c r="I535" i="5"/>
  <c r="C535" i="5"/>
  <c r="C536" i="5" s="1"/>
  <c r="J534" i="5"/>
  <c r="I534" i="5"/>
  <c r="C534" i="5"/>
  <c r="C533" i="5"/>
  <c r="J530" i="5"/>
  <c r="I530" i="5"/>
  <c r="C530" i="5"/>
  <c r="C531" i="5" s="1"/>
  <c r="J529" i="5"/>
  <c r="J549" i="5" s="1"/>
  <c r="I529" i="5"/>
  <c r="C529" i="5"/>
  <c r="C528" i="5"/>
  <c r="J524" i="5"/>
  <c r="I524" i="5"/>
  <c r="C524" i="5"/>
  <c r="J523" i="5"/>
  <c r="I523" i="5"/>
  <c r="C523" i="5"/>
  <c r="C16" i="23" l="1"/>
  <c r="C17" i="23" s="1"/>
  <c r="C18" i="23" s="1"/>
  <c r="C19" i="23" s="1"/>
  <c r="C20" i="23" s="1"/>
  <c r="C21" i="23" s="1"/>
  <c r="C22" i="23" s="1"/>
  <c r="B15" i="23"/>
  <c r="E19" i="19"/>
  <c r="C17" i="19"/>
  <c r="C18" i="19" s="1"/>
  <c r="B18" i="19" s="1"/>
  <c r="I536" i="5"/>
  <c r="I549" i="5"/>
  <c r="I531" i="5"/>
  <c r="I545" i="5" s="1"/>
  <c r="C545" i="5" s="1"/>
  <c r="I541" i="5" s="1"/>
  <c r="C541" i="5" s="1"/>
  <c r="L494" i="5"/>
  <c r="K494" i="5"/>
  <c r="J494" i="5"/>
  <c r="I494" i="5"/>
  <c r="C494" i="5"/>
  <c r="L493" i="5"/>
  <c r="K493" i="5"/>
  <c r="J493" i="5"/>
  <c r="I493" i="5"/>
  <c r="C493" i="5"/>
  <c r="L492" i="5"/>
  <c r="K492" i="5"/>
  <c r="J492" i="5"/>
  <c r="I492" i="5"/>
  <c r="C492" i="5"/>
  <c r="L491" i="5"/>
  <c r="K491" i="5"/>
  <c r="J491" i="5"/>
  <c r="I491" i="5"/>
  <c r="C491" i="5"/>
  <c r="L490" i="5"/>
  <c r="K490" i="5"/>
  <c r="J490" i="5"/>
  <c r="I490" i="5"/>
  <c r="C490" i="5"/>
  <c r="C23" i="23" l="1"/>
  <c r="B22" i="23"/>
  <c r="C19" i="19"/>
  <c r="B19" i="19" s="1"/>
  <c r="I547" i="5"/>
  <c r="C547" i="5" s="1"/>
  <c r="I546" i="5" s="1"/>
  <c r="C546" i="5" s="1"/>
  <c r="K487" i="5"/>
  <c r="J487" i="5"/>
  <c r="I487" i="5"/>
  <c r="C487" i="5"/>
  <c r="K486" i="5"/>
  <c r="J486" i="5"/>
  <c r="I486" i="5"/>
  <c r="C486" i="5"/>
  <c r="K483" i="5"/>
  <c r="J483" i="5"/>
  <c r="I483" i="5"/>
  <c r="C483" i="5"/>
  <c r="C482" i="5"/>
  <c r="L481" i="5"/>
  <c r="K481" i="5"/>
  <c r="J481" i="5"/>
  <c r="I481" i="5"/>
  <c r="C481" i="5"/>
  <c r="L480" i="5"/>
  <c r="K480" i="5"/>
  <c r="K502" i="5" s="1"/>
  <c r="J480" i="5"/>
  <c r="J502" i="5" s="1"/>
  <c r="I480" i="5"/>
  <c r="I502" i="5" s="1"/>
  <c r="C480" i="5"/>
  <c r="L479" i="5"/>
  <c r="K479" i="5"/>
  <c r="J479" i="5"/>
  <c r="I479" i="5"/>
  <c r="C479" i="5"/>
  <c r="I386" i="5"/>
  <c r="C386" i="5"/>
  <c r="D373" i="5"/>
  <c r="C24" i="23" l="1"/>
  <c r="B23" i="23"/>
  <c r="C20" i="19"/>
  <c r="B20" i="19" s="1"/>
  <c r="I552" i="5"/>
  <c r="G554" i="5" s="1"/>
  <c r="C63" i="20" s="1"/>
  <c r="J488" i="5"/>
  <c r="I488" i="5" s="1"/>
  <c r="K488" i="5"/>
  <c r="L497" i="5"/>
  <c r="D372" i="5"/>
  <c r="D371" i="5"/>
  <c r="D370" i="5"/>
  <c r="D369" i="5"/>
  <c r="D368" i="5"/>
  <c r="D367" i="5"/>
  <c r="D366" i="5"/>
  <c r="C25" i="23" l="1"/>
  <c r="B24" i="23"/>
  <c r="K497" i="5"/>
  <c r="K501" i="5" s="1"/>
  <c r="C21" i="19"/>
  <c r="B74" i="16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C26" i="23" l="1"/>
  <c r="B25" i="23"/>
  <c r="C22" i="19"/>
  <c r="C23" i="19" s="1"/>
  <c r="C24" i="19" s="1"/>
  <c r="B21" i="19"/>
  <c r="D350" i="5"/>
  <c r="C25" i="19" l="1"/>
  <c r="B24" i="19"/>
  <c r="D349" i="5"/>
  <c r="D348" i="5"/>
  <c r="C26" i="19" l="1"/>
  <c r="C27" i="19" s="1"/>
  <c r="B25" i="19"/>
  <c r="D347" i="5"/>
  <c r="D346" i="5"/>
  <c r="E345" i="5"/>
  <c r="D345" i="5"/>
  <c r="D344" i="5"/>
  <c r="C28" i="19" l="1"/>
  <c r="C29" i="19" s="1"/>
  <c r="C30" i="19" s="1"/>
  <c r="B27" i="19"/>
  <c r="D338" i="5"/>
  <c r="C31" i="19" l="1"/>
  <c r="C32" i="19" s="1"/>
  <c r="C33" i="19" s="1"/>
  <c r="C34" i="19" s="1"/>
  <c r="C35" i="19" s="1"/>
  <c r="B30" i="19"/>
  <c r="D337" i="5"/>
  <c r="C36" i="19" l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D336" i="5"/>
  <c r="D335" i="5"/>
  <c r="B55" i="19" l="1"/>
  <c r="C56" i="19"/>
  <c r="C57" i="19" s="1"/>
  <c r="C58" i="19" s="1"/>
  <c r="C59" i="19" s="1"/>
  <c r="C60" i="19" s="1"/>
  <c r="C61" i="19" s="1"/>
  <c r="D334" i="5"/>
  <c r="D333" i="5"/>
  <c r="D332" i="5"/>
  <c r="D331" i="5"/>
  <c r="D330" i="5"/>
  <c r="D329" i="5"/>
  <c r="D328" i="5"/>
  <c r="D327" i="5"/>
  <c r="C62" i="19" l="1"/>
  <c r="B61" i="19"/>
  <c r="D326" i="5"/>
  <c r="D325" i="5"/>
  <c r="B62" i="19" l="1"/>
  <c r="C63" i="19"/>
  <c r="D324" i="5"/>
  <c r="C64" i="19" l="1"/>
  <c r="C65" i="19" s="1"/>
  <c r="C66" i="19" s="1"/>
  <c r="B63" i="19"/>
  <c r="D323" i="5"/>
  <c r="E322" i="5"/>
  <c r="D322" i="5"/>
  <c r="D321" i="5"/>
  <c r="C67" i="19" l="1"/>
  <c r="C68" i="19" s="1"/>
  <c r="B68" i="19" s="1"/>
  <c r="B64" i="19"/>
  <c r="E299" i="5"/>
  <c r="D299" i="5"/>
  <c r="D298" i="5"/>
  <c r="D297" i="5"/>
  <c r="D279" i="5" l="1"/>
  <c r="D278" i="5"/>
  <c r="D274" i="5" l="1"/>
  <c r="D273" i="5"/>
  <c r="D272" i="5"/>
  <c r="D271" i="5"/>
  <c r="D270" i="5"/>
  <c r="D269" i="5"/>
  <c r="D268" i="5"/>
  <c r="D267" i="5"/>
  <c r="D266" i="5"/>
  <c r="D265" i="5"/>
  <c r="D264" i="5"/>
  <c r="D263" i="5"/>
  <c r="D276" i="5" l="1"/>
  <c r="C153" i="5" l="1"/>
  <c r="C152" i="5" l="1"/>
  <c r="I140" i="5" l="1"/>
  <c r="C140" i="5"/>
  <c r="I139" i="5"/>
  <c r="C139" i="5"/>
  <c r="I138" i="5"/>
  <c r="C138" i="5"/>
  <c r="I142" i="5" l="1"/>
  <c r="E12" i="19" s="1"/>
  <c r="B12" i="19" s="1"/>
  <c r="J99" i="5"/>
  <c r="I99" i="5"/>
  <c r="C99" i="5"/>
  <c r="J98" i="5"/>
  <c r="I98" i="5"/>
  <c r="C98" i="5"/>
  <c r="D94" i="5"/>
  <c r="C426" i="5" s="1"/>
  <c r="D93" i="5"/>
  <c r="C425" i="5" s="1"/>
  <c r="D92" i="5"/>
  <c r="C424" i="5" s="1"/>
  <c r="D91" i="5"/>
  <c r="C423" i="5" s="1"/>
  <c r="D90" i="5"/>
  <c r="C422" i="5" s="1"/>
  <c r="D89" i="5"/>
  <c r="C421" i="5" s="1"/>
  <c r="D88" i="5"/>
  <c r="C420" i="5" s="1"/>
  <c r="D87" i="5"/>
  <c r="C419" i="5" s="1"/>
  <c r="D86" i="5"/>
  <c r="C418" i="5" s="1"/>
  <c r="D85" i="5"/>
  <c r="C417" i="5" s="1"/>
  <c r="D84" i="5"/>
  <c r="C416" i="5" s="1"/>
  <c r="D83" i="5"/>
  <c r="C415" i="5" s="1"/>
  <c r="D82" i="5"/>
  <c r="C414" i="5" s="1"/>
  <c r="D81" i="5"/>
  <c r="C413" i="5" s="1"/>
  <c r="J80" i="5"/>
  <c r="F80" i="5"/>
  <c r="D80" i="5"/>
  <c r="C412" i="5" s="1"/>
  <c r="D79" i="5"/>
  <c r="C411" i="5" s="1"/>
  <c r="J76" i="5"/>
  <c r="I76" i="5"/>
  <c r="C76" i="5"/>
  <c r="J75" i="5"/>
  <c r="I75" i="5"/>
  <c r="H319" i="5" s="1"/>
  <c r="C75" i="5"/>
  <c r="Q66" i="5"/>
  <c r="O66" i="5"/>
  <c r="M66" i="5"/>
  <c r="K66" i="5"/>
  <c r="C66" i="5"/>
  <c r="E415" i="5" l="1"/>
  <c r="E414" i="5"/>
  <c r="E422" i="5"/>
  <c r="E413" i="5"/>
  <c r="E14" i="19"/>
  <c r="B14" i="19" s="1"/>
  <c r="E420" i="5"/>
  <c r="E412" i="5"/>
  <c r="E426" i="5"/>
  <c r="E411" i="5"/>
  <c r="E417" i="5"/>
  <c r="E425" i="5"/>
  <c r="I256" i="5"/>
  <c r="D132" i="20" s="1"/>
  <c r="E132" i="20" s="1"/>
  <c r="E423" i="5"/>
  <c r="E421" i="5"/>
  <c r="E419" i="5"/>
  <c r="E418" i="5"/>
  <c r="D418" i="5" s="1"/>
  <c r="E16" i="19"/>
  <c r="B16" i="19" s="1"/>
  <c r="E416" i="5"/>
  <c r="E424" i="5"/>
  <c r="H342" i="5"/>
  <c r="I103" i="5"/>
  <c r="F103" i="5" s="1"/>
  <c r="Y65" i="5"/>
  <c r="S65" i="5"/>
  <c r="Q65" i="5"/>
  <c r="O65" i="5"/>
  <c r="W65" i="5" s="1"/>
  <c r="M65" i="5"/>
  <c r="K65" i="5"/>
  <c r="W63" i="5" s="1"/>
  <c r="C65" i="5"/>
  <c r="Y64" i="5"/>
  <c r="S64" i="5"/>
  <c r="S70" i="5" s="1"/>
  <c r="Q64" i="5"/>
  <c r="Q70" i="5" s="1"/>
  <c r="O64" i="5"/>
  <c r="M64" i="5"/>
  <c r="V64" i="5" s="1"/>
  <c r="K64" i="5"/>
  <c r="I64" i="5"/>
  <c r="I70" i="5" s="1"/>
  <c r="I153" i="5" s="1"/>
  <c r="C64" i="5"/>
  <c r="D426" i="5" l="1"/>
  <c r="D424" i="5"/>
  <c r="D425" i="5"/>
  <c r="D422" i="5"/>
  <c r="D421" i="5"/>
  <c r="D417" i="5"/>
  <c r="D420" i="5"/>
  <c r="D414" i="5"/>
  <c r="D413" i="5"/>
  <c r="D419" i="5"/>
  <c r="D412" i="5"/>
  <c r="D416" i="5"/>
  <c r="D423" i="5"/>
  <c r="D411" i="5"/>
  <c r="D415" i="5"/>
  <c r="E15" i="19"/>
  <c r="B15" i="19" s="1"/>
  <c r="E17" i="19"/>
  <c r="B17" i="19" s="1"/>
  <c r="E13" i="19"/>
  <c r="B13" i="19" s="1"/>
  <c r="W66" i="5"/>
  <c r="V66" i="5" s="1"/>
  <c r="V65" i="5"/>
  <c r="O70" i="5"/>
  <c r="M70" i="5" s="1"/>
  <c r="K70" i="5" s="1"/>
  <c r="J153" i="5" s="1"/>
  <c r="V63" i="5"/>
  <c r="S63" i="5"/>
  <c r="Q63" i="5"/>
  <c r="Q69" i="5" s="1"/>
  <c r="O63" i="5"/>
  <c r="X65" i="5" s="1"/>
  <c r="M63" i="5"/>
  <c r="X64" i="5" s="1"/>
  <c r="W64" i="5" s="1"/>
  <c r="K63" i="5"/>
  <c r="I63" i="5"/>
  <c r="H296" i="5" s="1"/>
  <c r="D280" i="5" s="1"/>
  <c r="C63" i="5"/>
  <c r="E11" i="19" l="1"/>
  <c r="B11" i="19" s="1"/>
  <c r="O69" i="5"/>
  <c r="M69" i="5" s="1"/>
  <c r="K69" i="5" s="1"/>
  <c r="J152" i="5" s="1"/>
  <c r="X62" i="5"/>
  <c r="V62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395" i="5" s="1"/>
  <c r="C43" i="5"/>
  <c r="U21" i="5"/>
  <c r="T21" i="5"/>
  <c r="S21" i="5"/>
  <c r="R21" i="5"/>
  <c r="Q21" i="5"/>
  <c r="P21" i="5"/>
  <c r="O21" i="5"/>
  <c r="N21" i="5"/>
  <c r="M21" i="5"/>
  <c r="L21" i="5"/>
  <c r="K21" i="5"/>
  <c r="J21" i="5"/>
  <c r="U20" i="5"/>
  <c r="T20" i="5"/>
  <c r="S20" i="5"/>
  <c r="R20" i="5"/>
  <c r="Q20" i="5"/>
  <c r="P20" i="5"/>
  <c r="O20" i="5"/>
  <c r="N20" i="5"/>
  <c r="M20" i="5"/>
  <c r="L20" i="5"/>
  <c r="K20" i="5"/>
  <c r="J20" i="5"/>
  <c r="U19" i="5"/>
  <c r="T19" i="5"/>
  <c r="S19" i="5"/>
  <c r="R19" i="5"/>
  <c r="Q19" i="5"/>
  <c r="P19" i="5"/>
  <c r="O19" i="5"/>
  <c r="N19" i="5"/>
  <c r="M19" i="5"/>
  <c r="L19" i="5"/>
  <c r="K19" i="5"/>
  <c r="J19" i="5"/>
  <c r="U18" i="5"/>
  <c r="T18" i="5"/>
  <c r="S18" i="5"/>
  <c r="R18" i="5"/>
  <c r="Q18" i="5"/>
  <c r="P18" i="5"/>
  <c r="O18" i="5"/>
  <c r="N18" i="5"/>
  <c r="M18" i="5"/>
  <c r="L18" i="5"/>
  <c r="K18" i="5"/>
  <c r="J18" i="5"/>
  <c r="U17" i="5"/>
  <c r="T17" i="5"/>
  <c r="S17" i="5"/>
  <c r="R17" i="5"/>
  <c r="Q17" i="5"/>
  <c r="P17" i="5"/>
  <c r="O17" i="5"/>
  <c r="N17" i="5"/>
  <c r="M17" i="5"/>
  <c r="L17" i="5"/>
  <c r="K17" i="5"/>
  <c r="J17" i="5"/>
  <c r="E302" i="5" l="1"/>
  <c r="C397" i="5"/>
  <c r="E305" i="5"/>
  <c r="C400" i="5"/>
  <c r="E309" i="5"/>
  <c r="C404" i="5"/>
  <c r="E312" i="5"/>
  <c r="C407" i="5"/>
  <c r="E306" i="5"/>
  <c r="C401" i="5"/>
  <c r="E310" i="5"/>
  <c r="C405" i="5"/>
  <c r="E314" i="5"/>
  <c r="C409" i="5"/>
  <c r="E301" i="5"/>
  <c r="C396" i="5"/>
  <c r="E313" i="5"/>
  <c r="C408" i="5"/>
  <c r="E304" i="5"/>
  <c r="C399" i="5"/>
  <c r="E308" i="5"/>
  <c r="C403" i="5"/>
  <c r="E303" i="5"/>
  <c r="C398" i="5"/>
  <c r="E307" i="5"/>
  <c r="C402" i="5"/>
  <c r="E311" i="5"/>
  <c r="C406" i="5"/>
  <c r="E315" i="5"/>
  <c r="C410" i="5"/>
  <c r="E10" i="19"/>
  <c r="B10" i="19" s="1"/>
  <c r="E300" i="5"/>
  <c r="I65" i="5"/>
  <c r="D185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C311" i="5" l="1"/>
  <c r="C307" i="5"/>
  <c r="C313" i="5"/>
  <c r="C305" i="5"/>
  <c r="C304" i="5"/>
  <c r="E402" i="5"/>
  <c r="C306" i="5"/>
  <c r="C301" i="5"/>
  <c r="E395" i="5"/>
  <c r="C303" i="5"/>
  <c r="E401" i="5"/>
  <c r="E400" i="5"/>
  <c r="C314" i="5"/>
  <c r="C310" i="5"/>
  <c r="C302" i="5"/>
  <c r="E408" i="5"/>
  <c r="C315" i="5"/>
  <c r="E399" i="5"/>
  <c r="C312" i="5"/>
  <c r="E403" i="5"/>
  <c r="E404" i="5"/>
  <c r="E397" i="5"/>
  <c r="E406" i="5"/>
  <c r="E405" i="5"/>
  <c r="C308" i="5"/>
  <c r="E410" i="5"/>
  <c r="E409" i="5"/>
  <c r="C309" i="5"/>
  <c r="E398" i="5"/>
  <c r="E396" i="5"/>
  <c r="E407" i="5"/>
  <c r="I66" i="5"/>
  <c r="I69" i="5" s="1"/>
  <c r="I152" i="5" s="1"/>
  <c r="B185" i="5"/>
  <c r="D300" i="5"/>
  <c r="C300" i="5"/>
  <c r="W62" i="5"/>
  <c r="D405" i="5" l="1"/>
  <c r="D403" i="5"/>
  <c r="D408" i="5"/>
  <c r="D409" i="5"/>
  <c r="D410" i="5"/>
  <c r="D397" i="5"/>
  <c r="D399" i="5"/>
  <c r="D402" i="5"/>
  <c r="D400" i="5"/>
  <c r="D407" i="5"/>
  <c r="D406" i="5"/>
  <c r="D401" i="5"/>
  <c r="D396" i="5"/>
  <c r="D398" i="5"/>
  <c r="D404" i="5"/>
  <c r="D395" i="5"/>
  <c r="F300" i="5"/>
  <c r="H395" i="5" l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G395" i="5"/>
  <c r="G396" i="5" s="1"/>
  <c r="G397" i="5" s="1"/>
  <c r="G398" i="5" s="1"/>
  <c r="F301" i="5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B300" i="5"/>
  <c r="J395" i="5" l="1"/>
  <c r="J396" i="5" s="1"/>
  <c r="J397" i="5" s="1"/>
  <c r="J398" i="5" s="1"/>
  <c r="J399" i="5" s="1"/>
  <c r="J400" i="5" s="1"/>
  <c r="J401" i="5" s="1"/>
  <c r="J402" i="5" s="1"/>
  <c r="J403" i="5" s="1"/>
  <c r="J404" i="5" s="1"/>
  <c r="J405" i="5" s="1"/>
  <c r="J406" i="5" s="1"/>
  <c r="J407" i="5" s="1"/>
  <c r="J408" i="5" s="1"/>
  <c r="J409" i="5" s="1"/>
  <c r="J410" i="5" s="1"/>
  <c r="J411" i="5" s="1"/>
  <c r="J412" i="5" s="1"/>
  <c r="J413" i="5" s="1"/>
  <c r="J414" i="5" s="1"/>
  <c r="J415" i="5" s="1"/>
  <c r="J416" i="5" s="1"/>
  <c r="J417" i="5" s="1"/>
  <c r="J418" i="5" s="1"/>
  <c r="J419" i="5" s="1"/>
  <c r="J420" i="5" s="1"/>
  <c r="J421" i="5" s="1"/>
  <c r="J422" i="5" s="1"/>
  <c r="J423" i="5" s="1"/>
  <c r="J424" i="5" s="1"/>
  <c r="J425" i="5" s="1"/>
  <c r="J426" i="5" s="1"/>
  <c r="J427" i="5" s="1"/>
  <c r="J428" i="5" s="1"/>
  <c r="I395" i="5"/>
  <c r="I397" i="5"/>
  <c r="E461" i="5"/>
  <c r="I396" i="5"/>
  <c r="I398" i="5"/>
  <c r="G399" i="5"/>
  <c r="B411" i="11"/>
  <c r="I399" i="5" l="1"/>
  <c r="G400" i="5"/>
  <c r="J429" i="5"/>
  <c r="B409" i="11"/>
  <c r="I400" i="5" l="1"/>
  <c r="G401" i="5"/>
  <c r="J430" i="5"/>
  <c r="B389" i="11"/>
  <c r="I401" i="5" l="1"/>
  <c r="G402" i="5"/>
  <c r="J431" i="5"/>
  <c r="B387" i="11"/>
  <c r="I402" i="5" l="1"/>
  <c r="G403" i="5"/>
  <c r="J432" i="5"/>
  <c r="B367" i="11"/>
  <c r="I403" i="5" l="1"/>
  <c r="G404" i="5"/>
  <c r="J433" i="5"/>
  <c r="B365" i="11"/>
  <c r="I404" i="5" l="1"/>
  <c r="G405" i="5"/>
  <c r="J434" i="5"/>
  <c r="B41" i="11"/>
  <c r="I405" i="5" l="1"/>
  <c r="G406" i="5"/>
  <c r="J435" i="5"/>
  <c r="B40" i="11"/>
  <c r="I406" i="5" l="1"/>
  <c r="G407" i="5"/>
  <c r="J436" i="5"/>
  <c r="B39" i="11"/>
  <c r="I407" i="5" l="1"/>
  <c r="G408" i="5"/>
  <c r="J437" i="5"/>
  <c r="C3" i="11"/>
  <c r="B3" i="11" s="1"/>
  <c r="D2" i="11"/>
  <c r="I408" i="5" l="1"/>
  <c r="G409" i="5"/>
  <c r="J438" i="5"/>
  <c r="E557" i="1"/>
  <c r="E556" i="1"/>
  <c r="E555" i="1"/>
  <c r="E554" i="1"/>
  <c r="I409" i="5" l="1"/>
  <c r="G410" i="5"/>
  <c r="J439" i="5"/>
  <c r="E551" i="1"/>
  <c r="E550" i="1"/>
  <c r="E549" i="1"/>
  <c r="E548" i="1"/>
  <c r="E545" i="1"/>
  <c r="E544" i="1"/>
  <c r="E543" i="1"/>
  <c r="E542" i="1"/>
  <c r="E539" i="1"/>
  <c r="E538" i="1"/>
  <c r="E537" i="1"/>
  <c r="E536" i="1"/>
  <c r="E533" i="1"/>
  <c r="E532" i="1"/>
  <c r="E531" i="1"/>
  <c r="E530" i="1"/>
  <c r="E527" i="1"/>
  <c r="E526" i="1"/>
  <c r="E525" i="1"/>
  <c r="E524" i="1"/>
  <c r="E521" i="1"/>
  <c r="E520" i="1"/>
  <c r="E519" i="1"/>
  <c r="E518" i="1"/>
  <c r="E513" i="1"/>
  <c r="E512" i="1"/>
  <c r="E511" i="1"/>
  <c r="E510" i="1"/>
  <c r="I410" i="5" l="1"/>
  <c r="G411" i="5"/>
  <c r="J440" i="5"/>
  <c r="E507" i="1"/>
  <c r="E506" i="1"/>
  <c r="E505" i="1"/>
  <c r="E504" i="1"/>
  <c r="E501" i="1"/>
  <c r="E500" i="1"/>
  <c r="E499" i="1"/>
  <c r="E498" i="1"/>
  <c r="I411" i="5" l="1"/>
  <c r="G412" i="5"/>
  <c r="J441" i="5"/>
  <c r="E475" i="1"/>
  <c r="E474" i="1"/>
  <c r="I412" i="5" l="1"/>
  <c r="G413" i="5"/>
  <c r="J442" i="5"/>
  <c r="E448" i="1"/>
  <c r="E447" i="1"/>
  <c r="I413" i="5" l="1"/>
  <c r="G414" i="5"/>
  <c r="J443" i="5"/>
  <c r="E421" i="1"/>
  <c r="E420" i="1"/>
  <c r="I414" i="5" l="1"/>
  <c r="G415" i="5"/>
  <c r="J444" i="5"/>
  <c r="E371" i="1"/>
  <c r="E4" i="16" l="1"/>
  <c r="B38" i="16" s="1"/>
  <c r="K482" i="5"/>
  <c r="J482" i="5"/>
  <c r="I482" i="5"/>
  <c r="I415" i="5"/>
  <c r="G416" i="5"/>
  <c r="J445" i="5"/>
  <c r="E472" i="1"/>
  <c r="E418" i="1"/>
  <c r="E445" i="1"/>
  <c r="J497" i="5" s="1"/>
  <c r="J501" i="5" s="1"/>
  <c r="J504" i="5" s="1"/>
  <c r="I80" i="5"/>
  <c r="I416" i="5" l="1"/>
  <c r="G417" i="5"/>
  <c r="J446" i="5"/>
  <c r="I497" i="5"/>
  <c r="I501" i="5" s="1"/>
  <c r="I504" i="5" s="1"/>
  <c r="F4" i="16"/>
  <c r="I417" i="5" l="1"/>
  <c r="G418" i="5"/>
  <c r="J447" i="5"/>
  <c r="G4" i="16"/>
  <c r="C38" i="16"/>
  <c r="I418" i="5" l="1"/>
  <c r="G419" i="5"/>
  <c r="J448" i="5"/>
  <c r="D38" i="16"/>
  <c r="E38" i="16"/>
  <c r="B48" i="16" s="1"/>
  <c r="D280" i="1"/>
  <c r="E278" i="1"/>
  <c r="E277" i="1"/>
  <c r="D275" i="1"/>
  <c r="E273" i="1"/>
  <c r="E272" i="1"/>
  <c r="D270" i="1"/>
  <c r="E268" i="1"/>
  <c r="E267" i="1"/>
  <c r="E154" i="1"/>
  <c r="E153" i="1"/>
  <c r="E150" i="1"/>
  <c r="E149" i="1"/>
  <c r="E145" i="1"/>
  <c r="E144" i="1"/>
  <c r="E140" i="1"/>
  <c r="E139" i="1"/>
  <c r="E124" i="1"/>
  <c r="E123" i="1"/>
  <c r="E122" i="1"/>
  <c r="E121" i="1"/>
  <c r="E118" i="1"/>
  <c r="E117" i="1"/>
  <c r="E113" i="1"/>
  <c r="E112" i="1"/>
  <c r="E111" i="1"/>
  <c r="E110" i="1"/>
  <c r="E107" i="1"/>
  <c r="E106" i="1"/>
  <c r="E105" i="1"/>
  <c r="E104" i="1"/>
  <c r="E101" i="1"/>
  <c r="E100" i="1"/>
  <c r="E99" i="1"/>
  <c r="E96" i="1"/>
  <c r="E95" i="1"/>
  <c r="E94" i="1"/>
  <c r="E91" i="1"/>
  <c r="E90" i="1"/>
  <c r="E89" i="1"/>
  <c r="E86" i="1"/>
  <c r="E85" i="1"/>
  <c r="E84" i="1"/>
  <c r="E80" i="1"/>
  <c r="E79" i="1"/>
  <c r="E76" i="1"/>
  <c r="E75" i="1"/>
  <c r="E72" i="1"/>
  <c r="E71" i="1"/>
  <c r="E68" i="1"/>
  <c r="E67" i="1"/>
  <c r="E64" i="1"/>
  <c r="E63" i="1"/>
  <c r="E60" i="1"/>
  <c r="E59" i="1"/>
  <c r="E55" i="1"/>
  <c r="E54" i="1"/>
  <c r="E50" i="1"/>
  <c r="E49" i="1"/>
  <c r="E48" i="1"/>
  <c r="E47" i="1"/>
  <c r="E46" i="1"/>
  <c r="E45" i="1"/>
  <c r="E44" i="1"/>
  <c r="E43" i="1"/>
  <c r="E39" i="1"/>
  <c r="E38" i="1"/>
  <c r="E30" i="1"/>
  <c r="E29" i="1"/>
  <c r="E28" i="1"/>
  <c r="E23" i="1"/>
  <c r="E22" i="1"/>
  <c r="E19" i="1"/>
  <c r="E18" i="1"/>
  <c r="I419" i="5" l="1"/>
  <c r="G420" i="5"/>
  <c r="J449" i="5"/>
  <c r="K7" i="15"/>
  <c r="C48" i="16"/>
  <c r="F38" i="16"/>
  <c r="C4" i="1"/>
  <c r="C5" i="1" s="1"/>
  <c r="D5" i="11" s="1"/>
  <c r="I505" i="5"/>
  <c r="I508" i="5" s="1"/>
  <c r="I509" i="5" s="1"/>
  <c r="J505" i="5"/>
  <c r="J508" i="5" s="1"/>
  <c r="J509" i="5" s="1"/>
  <c r="K504" i="5"/>
  <c r="K505" i="5" s="1"/>
  <c r="K508" i="5" s="1"/>
  <c r="K509" i="5" s="1"/>
  <c r="I420" i="5" l="1"/>
  <c r="G421" i="5"/>
  <c r="J450" i="5"/>
  <c r="I513" i="5"/>
  <c r="C68" i="20" s="1"/>
  <c r="H300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D570" i="5"/>
  <c r="C4" i="11"/>
  <c r="B4" i="11" s="1"/>
  <c r="D3" i="11"/>
  <c r="D4" i="11"/>
  <c r="D186" i="5"/>
  <c r="B186" i="5" s="1"/>
  <c r="D187" i="5"/>
  <c r="B187" i="5" s="1"/>
  <c r="D188" i="5"/>
  <c r="D189" i="5"/>
  <c r="B189" i="5" s="1"/>
  <c r="D190" i="5"/>
  <c r="B190" i="5" s="1"/>
  <c r="D191" i="5"/>
  <c r="B191" i="5" s="1"/>
  <c r="D192" i="5"/>
  <c r="B192" i="5" s="1"/>
  <c r="D193" i="5"/>
  <c r="B193" i="5" s="1"/>
  <c r="D194" i="5"/>
  <c r="B194" i="5" s="1"/>
  <c r="D195" i="5"/>
  <c r="B195" i="5" s="1"/>
  <c r="D196" i="5"/>
  <c r="B196" i="5" s="1"/>
  <c r="D197" i="5"/>
  <c r="B197" i="5" s="1"/>
  <c r="D198" i="5"/>
  <c r="B198" i="5" s="1"/>
  <c r="D199" i="5"/>
  <c r="B199" i="5" s="1"/>
  <c r="D200" i="5"/>
  <c r="B200" i="5" s="1"/>
  <c r="D201" i="5"/>
  <c r="B201" i="5" s="1"/>
  <c r="D202" i="5"/>
  <c r="B202" i="5" s="1"/>
  <c r="D203" i="5"/>
  <c r="B203" i="5" s="1"/>
  <c r="D204" i="5"/>
  <c r="B204" i="5" s="1"/>
  <c r="D205" i="5"/>
  <c r="B205" i="5" s="1"/>
  <c r="D206" i="5"/>
  <c r="B206" i="5" s="1"/>
  <c r="D207" i="5"/>
  <c r="B207" i="5" s="1"/>
  <c r="D208" i="5"/>
  <c r="B208" i="5" s="1"/>
  <c r="D209" i="5"/>
  <c r="B209" i="5" s="1"/>
  <c r="D210" i="5"/>
  <c r="B210" i="5" s="1"/>
  <c r="D211" i="5"/>
  <c r="B211" i="5" s="1"/>
  <c r="D212" i="5"/>
  <c r="B212" i="5" s="1"/>
  <c r="D213" i="5"/>
  <c r="B213" i="5" s="1"/>
  <c r="D214" i="5"/>
  <c r="B214" i="5" s="1"/>
  <c r="D215" i="5"/>
  <c r="B215" i="5" s="1"/>
  <c r="D216" i="5"/>
  <c r="B216" i="5" s="1"/>
  <c r="D217" i="5"/>
  <c r="B217" i="5" s="1"/>
  <c r="D218" i="5"/>
  <c r="B218" i="5" s="1"/>
  <c r="D219" i="5"/>
  <c r="B219" i="5" s="1"/>
  <c r="D220" i="5"/>
  <c r="B220" i="5" s="1"/>
  <c r="D221" i="5"/>
  <c r="B221" i="5" s="1"/>
  <c r="D222" i="5"/>
  <c r="B222" i="5" s="1"/>
  <c r="D223" i="5"/>
  <c r="B223" i="5" s="1"/>
  <c r="D224" i="5"/>
  <c r="B224" i="5" s="1"/>
  <c r="D225" i="5"/>
  <c r="B225" i="5" s="1"/>
  <c r="D226" i="5"/>
  <c r="B226" i="5" s="1"/>
  <c r="D227" i="5"/>
  <c r="B227" i="5" s="1"/>
  <c r="D228" i="5"/>
  <c r="B228" i="5" s="1"/>
  <c r="D229" i="5"/>
  <c r="B229" i="5" s="1"/>
  <c r="D230" i="5"/>
  <c r="B230" i="5" s="1"/>
  <c r="D231" i="5"/>
  <c r="B231" i="5" s="1"/>
  <c r="D232" i="5"/>
  <c r="B232" i="5" s="1"/>
  <c r="D233" i="5"/>
  <c r="B233" i="5" s="1"/>
  <c r="D234" i="5"/>
  <c r="B234" i="5" s="1"/>
  <c r="D235" i="5"/>
  <c r="B235" i="5" s="1"/>
  <c r="D236" i="5"/>
  <c r="B236" i="5" s="1"/>
  <c r="D237" i="5"/>
  <c r="B237" i="5" s="1"/>
  <c r="D238" i="5"/>
  <c r="B238" i="5" s="1"/>
  <c r="D239" i="5"/>
  <c r="B239" i="5" s="1"/>
  <c r="D240" i="5"/>
  <c r="B240" i="5" s="1"/>
  <c r="D241" i="5"/>
  <c r="B241" i="5" s="1"/>
  <c r="D242" i="5"/>
  <c r="B242" i="5" s="1"/>
  <c r="D243" i="5"/>
  <c r="B243" i="5" s="1"/>
  <c r="D244" i="5"/>
  <c r="B244" i="5" s="1"/>
  <c r="AB62" i="5"/>
  <c r="AB63" i="5"/>
  <c r="AB64" i="5"/>
  <c r="AB65" i="5"/>
  <c r="AB66" i="5"/>
  <c r="Y63" i="5"/>
  <c r="X63" i="5"/>
  <c r="Y66" i="5"/>
  <c r="X66" i="5"/>
  <c r="Y62" i="5"/>
  <c r="I156" i="5"/>
  <c r="I157" i="5"/>
  <c r="I421" i="5" l="1"/>
  <c r="G422" i="5"/>
  <c r="J451" i="5"/>
  <c r="E570" i="5"/>
  <c r="E51" i="19"/>
  <c r="C5" i="11"/>
  <c r="B5" i="11" s="1"/>
  <c r="D569" i="5"/>
  <c r="B188" i="5"/>
  <c r="E169" i="5" s="1"/>
  <c r="E170" i="5" s="1"/>
  <c r="C188" i="5"/>
  <c r="AA64" i="5"/>
  <c r="C197" i="5"/>
  <c r="C229" i="5"/>
  <c r="C237" i="5"/>
  <c r="C213" i="5"/>
  <c r="C221" i="5"/>
  <c r="C205" i="5"/>
  <c r="C241" i="5"/>
  <c r="C233" i="5"/>
  <c r="C225" i="5"/>
  <c r="C217" i="5"/>
  <c r="C209" i="5"/>
  <c r="C201" i="5"/>
  <c r="C193" i="5"/>
  <c r="C189" i="5"/>
  <c r="AA65" i="5"/>
  <c r="AA63" i="5"/>
  <c r="C362" i="5"/>
  <c r="C354" i="5"/>
  <c r="C370" i="5"/>
  <c r="C350" i="5"/>
  <c r="C366" i="5"/>
  <c r="C358" i="5"/>
  <c r="C348" i="5"/>
  <c r="C372" i="5"/>
  <c r="C368" i="5"/>
  <c r="C364" i="5"/>
  <c r="C360" i="5"/>
  <c r="C356" i="5"/>
  <c r="C352" i="5"/>
  <c r="C346" i="5"/>
  <c r="C373" i="5"/>
  <c r="C371" i="5"/>
  <c r="C369" i="5"/>
  <c r="C367" i="5"/>
  <c r="C365" i="5"/>
  <c r="C363" i="5"/>
  <c r="C361" i="5"/>
  <c r="C359" i="5"/>
  <c r="C357" i="5"/>
  <c r="C355" i="5"/>
  <c r="C353" i="5"/>
  <c r="C351" i="5"/>
  <c r="C349" i="5"/>
  <c r="C347" i="5"/>
  <c r="C323" i="5"/>
  <c r="AA66" i="5"/>
  <c r="AA62" i="5"/>
  <c r="I159" i="5"/>
  <c r="G300" i="5"/>
  <c r="C243" i="5"/>
  <c r="C239" i="5"/>
  <c r="C235" i="5"/>
  <c r="C231" i="5"/>
  <c r="C227" i="5"/>
  <c r="C223" i="5"/>
  <c r="C219" i="5"/>
  <c r="C215" i="5"/>
  <c r="C211" i="5"/>
  <c r="C207" i="5"/>
  <c r="C203" i="5"/>
  <c r="C199" i="5"/>
  <c r="C195" i="5"/>
  <c r="C191" i="5"/>
  <c r="C187" i="5"/>
  <c r="C244" i="5"/>
  <c r="C242" i="5"/>
  <c r="C240" i="5"/>
  <c r="C238" i="5"/>
  <c r="C236" i="5"/>
  <c r="C234" i="5"/>
  <c r="C232" i="5"/>
  <c r="C230" i="5"/>
  <c r="C228" i="5"/>
  <c r="C226" i="5"/>
  <c r="C224" i="5"/>
  <c r="C222" i="5"/>
  <c r="C220" i="5"/>
  <c r="C218" i="5"/>
  <c r="C216" i="5"/>
  <c r="C214" i="5"/>
  <c r="C212" i="5"/>
  <c r="C210" i="5"/>
  <c r="C208" i="5"/>
  <c r="C206" i="5"/>
  <c r="C204" i="5"/>
  <c r="C202" i="5"/>
  <c r="C200" i="5"/>
  <c r="C198" i="5"/>
  <c r="C196" i="5"/>
  <c r="C194" i="5"/>
  <c r="C192" i="5"/>
  <c r="C190" i="5"/>
  <c r="C186" i="5"/>
  <c r="C185" i="5"/>
  <c r="C331" i="5"/>
  <c r="C327" i="5"/>
  <c r="C335" i="5"/>
  <c r="C325" i="5"/>
  <c r="C337" i="5"/>
  <c r="C333" i="5"/>
  <c r="C329" i="5"/>
  <c r="C324" i="5"/>
  <c r="C338" i="5"/>
  <c r="C336" i="5"/>
  <c r="C334" i="5"/>
  <c r="C332" i="5"/>
  <c r="C330" i="5"/>
  <c r="C328" i="5"/>
  <c r="C326" i="5"/>
  <c r="K169" i="5" l="1"/>
  <c r="K170" i="5" s="1"/>
  <c r="I422" i="5"/>
  <c r="G423" i="5"/>
  <c r="J452" i="5"/>
  <c r="B51" i="19"/>
  <c r="E569" i="5"/>
  <c r="E47" i="19"/>
  <c r="E52" i="19"/>
  <c r="B52" i="19" s="1"/>
  <c r="K184" i="5"/>
  <c r="C120" i="20" s="1"/>
  <c r="C127" i="20" s="1"/>
  <c r="C6" i="11"/>
  <c r="B6" i="11" s="1"/>
  <c r="F185" i="5"/>
  <c r="F346" i="5"/>
  <c r="F323" i="5"/>
  <c r="AC62" i="5"/>
  <c r="AE62" i="5" s="1"/>
  <c r="AF62" i="5" s="1"/>
  <c r="Z174" i="5" s="1"/>
  <c r="H301" i="5"/>
  <c r="B301" i="5" s="1"/>
  <c r="G301" i="5"/>
  <c r="I300" i="5"/>
  <c r="I423" i="5" l="1"/>
  <c r="G424" i="5"/>
  <c r="J453" i="5"/>
  <c r="F347" i="5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59" i="5" s="1"/>
  <c r="F360" i="5" s="1"/>
  <c r="F361" i="5" s="1"/>
  <c r="F362" i="5" s="1"/>
  <c r="F363" i="5" s="1"/>
  <c r="F364" i="5" s="1"/>
  <c r="F365" i="5" s="1"/>
  <c r="F366" i="5" s="1"/>
  <c r="F367" i="5" s="1"/>
  <c r="F368" i="5" s="1"/>
  <c r="F369" i="5" s="1"/>
  <c r="F370" i="5" s="1"/>
  <c r="F371" i="5" s="1"/>
  <c r="F372" i="5" s="1"/>
  <c r="F373" i="5" s="1"/>
  <c r="B346" i="5"/>
  <c r="H323" i="5"/>
  <c r="B323" i="5"/>
  <c r="E50" i="19"/>
  <c r="E49" i="19" s="1"/>
  <c r="B54" i="19"/>
  <c r="E48" i="19"/>
  <c r="B48" i="19" s="1"/>
  <c r="B47" i="19"/>
  <c r="E46" i="19"/>
  <c r="C7" i="11"/>
  <c r="B7" i="11" s="1"/>
  <c r="F324" i="5"/>
  <c r="Y174" i="5"/>
  <c r="Q122" i="20" s="1"/>
  <c r="A185" i="5"/>
  <c r="AC63" i="5"/>
  <c r="AE63" i="5" s="1"/>
  <c r="F186" i="5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H346" i="5"/>
  <c r="AG62" i="5"/>
  <c r="AA174" i="5" s="1"/>
  <c r="AH62" i="5"/>
  <c r="AB174" i="5" s="1"/>
  <c r="G346" i="5"/>
  <c r="H302" i="5"/>
  <c r="B302" i="5" s="1"/>
  <c r="G302" i="5"/>
  <c r="I301" i="5"/>
  <c r="K185" i="5"/>
  <c r="J185" i="5"/>
  <c r="G323" i="5"/>
  <c r="I424" i="5" l="1"/>
  <c r="G425" i="5"/>
  <c r="J454" i="5"/>
  <c r="H347" i="5"/>
  <c r="B347" i="5" s="1"/>
  <c r="I302" i="5"/>
  <c r="B50" i="19"/>
  <c r="B46" i="19"/>
  <c r="E45" i="19"/>
  <c r="B45" i="19" s="1"/>
  <c r="R183" i="5"/>
  <c r="X121" i="20" s="1"/>
  <c r="Q184" i="5"/>
  <c r="Q187" i="5" s="1"/>
  <c r="R121" i="20"/>
  <c r="C8" i="11"/>
  <c r="B8" i="11" s="1"/>
  <c r="G324" i="5"/>
  <c r="F325" i="5"/>
  <c r="F326" i="5" s="1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AC64" i="5"/>
  <c r="AE64" i="5" s="1"/>
  <c r="N185" i="5"/>
  <c r="Q123" i="20"/>
  <c r="W123" i="20" s="1"/>
  <c r="Q124" i="20"/>
  <c r="K186" i="5"/>
  <c r="A186" i="5"/>
  <c r="A187" i="5" s="1"/>
  <c r="J186" i="5"/>
  <c r="I346" i="5"/>
  <c r="R174" i="5"/>
  <c r="I323" i="5"/>
  <c r="G347" i="5"/>
  <c r="H348" i="5"/>
  <c r="H324" i="5"/>
  <c r="B324" i="5" s="1"/>
  <c r="H303" i="5"/>
  <c r="B303" i="5" s="1"/>
  <c r="G303" i="5"/>
  <c r="AF63" i="5"/>
  <c r="Z175" i="5" s="1"/>
  <c r="AG63" i="5"/>
  <c r="AA175" i="5" s="1"/>
  <c r="AH63" i="5"/>
  <c r="AB175" i="5" s="1"/>
  <c r="Y175" i="5"/>
  <c r="O185" i="5"/>
  <c r="K187" i="5"/>
  <c r="J187" i="5"/>
  <c r="I425" i="5" l="1"/>
  <c r="G426" i="5"/>
  <c r="J456" i="5"/>
  <c r="K454" i="5" s="1"/>
  <c r="I324" i="5"/>
  <c r="W187" i="5"/>
  <c r="Q185" i="5"/>
  <c r="W185" i="5" s="1"/>
  <c r="Q186" i="5"/>
  <c r="W186" i="5" s="1"/>
  <c r="B348" i="5"/>
  <c r="W124" i="20"/>
  <c r="X183" i="5"/>
  <c r="I303" i="5"/>
  <c r="AC65" i="5"/>
  <c r="AE65" i="5" s="1"/>
  <c r="I347" i="5"/>
  <c r="W122" i="20"/>
  <c r="W184" i="5"/>
  <c r="C9" i="11"/>
  <c r="B9" i="11" s="1"/>
  <c r="G325" i="5"/>
  <c r="N186" i="5"/>
  <c r="N187" i="5" s="1"/>
  <c r="S121" i="20"/>
  <c r="R122" i="20"/>
  <c r="S183" i="5"/>
  <c r="Y121" i="20" s="1"/>
  <c r="R184" i="5"/>
  <c r="X122" i="20" s="1"/>
  <c r="G348" i="5"/>
  <c r="G349" i="5"/>
  <c r="H304" i="5"/>
  <c r="B304" i="5" s="1"/>
  <c r="G304" i="5"/>
  <c r="AF64" i="5"/>
  <c r="Z176" i="5" s="1"/>
  <c r="AG64" i="5"/>
  <c r="AA176" i="5" s="1"/>
  <c r="AH64" i="5"/>
  <c r="AB176" i="5" s="1"/>
  <c r="Y176" i="5"/>
  <c r="R175" i="5"/>
  <c r="T174" i="5" s="1"/>
  <c r="O186" i="5"/>
  <c r="O187" i="5" s="1"/>
  <c r="A188" i="5"/>
  <c r="K188" i="5"/>
  <c r="J188" i="5"/>
  <c r="Q188" i="5"/>
  <c r="W188" i="5" s="1"/>
  <c r="H326" i="5"/>
  <c r="H325" i="5"/>
  <c r="B325" i="5" s="1"/>
  <c r="L454" i="5" l="1"/>
  <c r="I426" i="5"/>
  <c r="G427" i="5"/>
  <c r="K395" i="5"/>
  <c r="L395" i="5"/>
  <c r="K396" i="5"/>
  <c r="L396" i="5"/>
  <c r="K397" i="5"/>
  <c r="L397" i="5"/>
  <c r="K398" i="5"/>
  <c r="L398" i="5"/>
  <c r="K399" i="5"/>
  <c r="L399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17" i="5"/>
  <c r="L417" i="5"/>
  <c r="K418" i="5"/>
  <c r="L418" i="5"/>
  <c r="K419" i="5"/>
  <c r="L419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26" i="5"/>
  <c r="L426" i="5"/>
  <c r="K427" i="5"/>
  <c r="L427" i="5"/>
  <c r="K428" i="5"/>
  <c r="L428" i="5"/>
  <c r="K429" i="5"/>
  <c r="L429" i="5"/>
  <c r="K430" i="5"/>
  <c r="L430" i="5"/>
  <c r="K431" i="5"/>
  <c r="L431" i="5"/>
  <c r="K432" i="5"/>
  <c r="L432" i="5"/>
  <c r="K433" i="5"/>
  <c r="L433" i="5"/>
  <c r="K434" i="5"/>
  <c r="L434" i="5"/>
  <c r="K435" i="5"/>
  <c r="L435" i="5"/>
  <c r="K436" i="5"/>
  <c r="L436" i="5"/>
  <c r="K437" i="5"/>
  <c r="L437" i="5"/>
  <c r="K438" i="5"/>
  <c r="L438" i="5"/>
  <c r="K439" i="5"/>
  <c r="L439" i="5"/>
  <c r="K440" i="5"/>
  <c r="L440" i="5"/>
  <c r="K441" i="5"/>
  <c r="L441" i="5"/>
  <c r="K442" i="5"/>
  <c r="L442" i="5"/>
  <c r="K443" i="5"/>
  <c r="L443" i="5"/>
  <c r="K444" i="5"/>
  <c r="L444" i="5"/>
  <c r="K445" i="5"/>
  <c r="L445" i="5"/>
  <c r="K446" i="5"/>
  <c r="L446" i="5"/>
  <c r="K447" i="5"/>
  <c r="L447" i="5"/>
  <c r="K448" i="5"/>
  <c r="L448" i="5"/>
  <c r="K449" i="5"/>
  <c r="L449" i="5"/>
  <c r="K450" i="5"/>
  <c r="L450" i="5"/>
  <c r="K451" i="5"/>
  <c r="L451" i="5"/>
  <c r="K452" i="5"/>
  <c r="L452" i="5"/>
  <c r="K453" i="5"/>
  <c r="L453" i="5"/>
  <c r="I304" i="5"/>
  <c r="B326" i="5"/>
  <c r="AC66" i="5"/>
  <c r="AE66" i="5" s="1"/>
  <c r="AH66" i="5" s="1"/>
  <c r="AB178" i="5" s="1"/>
  <c r="I325" i="5"/>
  <c r="C10" i="11"/>
  <c r="B10" i="11" s="1"/>
  <c r="R188" i="5"/>
  <c r="X188" i="5" s="1"/>
  <c r="N188" i="5"/>
  <c r="R124" i="20"/>
  <c r="X124" i="20" s="1"/>
  <c r="R123" i="20"/>
  <c r="X123" i="20" s="1"/>
  <c r="S122" i="20"/>
  <c r="S123" i="20" s="1"/>
  <c r="T121" i="20"/>
  <c r="T183" i="5"/>
  <c r="Z121" i="20" s="1"/>
  <c r="S184" i="5"/>
  <c r="Y183" i="5"/>
  <c r="X184" i="5"/>
  <c r="I348" i="5"/>
  <c r="I349" i="5" s="1"/>
  <c r="H349" i="5"/>
  <c r="B349" i="5" s="1"/>
  <c r="H350" i="5"/>
  <c r="H305" i="5"/>
  <c r="B305" i="5" s="1"/>
  <c r="G305" i="5"/>
  <c r="R186" i="5"/>
  <c r="X186" i="5" s="1"/>
  <c r="R185" i="5"/>
  <c r="X185" i="5" s="1"/>
  <c r="R187" i="5"/>
  <c r="X187" i="5" s="1"/>
  <c r="R176" i="5"/>
  <c r="T175" i="5" s="1"/>
  <c r="AF65" i="5"/>
  <c r="Z177" i="5" s="1"/>
  <c r="AG65" i="5"/>
  <c r="AA177" i="5" s="1"/>
  <c r="AH65" i="5"/>
  <c r="AB177" i="5" s="1"/>
  <c r="Y177" i="5"/>
  <c r="O188" i="5"/>
  <c r="Q189" i="5"/>
  <c r="W189" i="5" s="1"/>
  <c r="R189" i="5"/>
  <c r="X189" i="5" s="1"/>
  <c r="J189" i="5"/>
  <c r="K189" i="5"/>
  <c r="A189" i="5"/>
  <c r="G326" i="5"/>
  <c r="H327" i="5"/>
  <c r="G327" i="5"/>
  <c r="E464" i="5" l="1"/>
  <c r="E465" i="5"/>
  <c r="G428" i="5"/>
  <c r="I427" i="5"/>
  <c r="S124" i="20"/>
  <c r="Y124" i="20" s="1"/>
  <c r="Y123" i="20"/>
  <c r="B327" i="5"/>
  <c r="B350" i="5"/>
  <c r="AG66" i="5"/>
  <c r="AA178" i="5" s="1"/>
  <c r="AF66" i="5"/>
  <c r="Z178" i="5" s="1"/>
  <c r="Y178" i="5"/>
  <c r="V121" i="20" s="1"/>
  <c r="C11" i="11"/>
  <c r="B11" i="11" s="1"/>
  <c r="N189" i="5"/>
  <c r="U121" i="20"/>
  <c r="T122" i="20"/>
  <c r="T123" i="20" s="1"/>
  <c r="S189" i="5"/>
  <c r="Y189" i="5" s="1"/>
  <c r="Y122" i="20"/>
  <c r="Z183" i="5"/>
  <c r="T184" i="5"/>
  <c r="Y184" i="5"/>
  <c r="I326" i="5"/>
  <c r="I327" i="5" s="1"/>
  <c r="G350" i="5"/>
  <c r="H351" i="5"/>
  <c r="I305" i="5"/>
  <c r="S185" i="5"/>
  <c r="Y185" i="5" s="1"/>
  <c r="H306" i="5"/>
  <c r="B306" i="5" s="1"/>
  <c r="G306" i="5"/>
  <c r="S188" i="5"/>
  <c r="Y188" i="5" s="1"/>
  <c r="U183" i="5"/>
  <c r="AA121" i="20" s="1"/>
  <c r="R177" i="5"/>
  <c r="T176" i="5" s="1"/>
  <c r="S187" i="5"/>
  <c r="Y187" i="5" s="1"/>
  <c r="S186" i="5"/>
  <c r="Y186" i="5" s="1"/>
  <c r="O189" i="5"/>
  <c r="K190" i="5"/>
  <c r="S190" i="5"/>
  <c r="Y190" i="5" s="1"/>
  <c r="J190" i="5"/>
  <c r="A190" i="5"/>
  <c r="R190" i="5"/>
  <c r="X190" i="5" s="1"/>
  <c r="Q190" i="5"/>
  <c r="W190" i="5" s="1"/>
  <c r="H328" i="5"/>
  <c r="G328" i="5"/>
  <c r="E466" i="5" l="1"/>
  <c r="B351" i="5"/>
  <c r="G429" i="5"/>
  <c r="I428" i="5"/>
  <c r="B328" i="5"/>
  <c r="Z123" i="20"/>
  <c r="U122" i="20"/>
  <c r="U123" i="20" s="1"/>
  <c r="R178" i="5"/>
  <c r="T177" i="5" s="1"/>
  <c r="V183" i="5"/>
  <c r="AB121" i="20" s="1"/>
  <c r="U184" i="5"/>
  <c r="AA122" i="20" s="1"/>
  <c r="N190" i="5"/>
  <c r="C12" i="11"/>
  <c r="C13" i="11" s="1"/>
  <c r="B13" i="11" s="1"/>
  <c r="T124" i="20"/>
  <c r="Z124" i="20" s="1"/>
  <c r="T185" i="5"/>
  <c r="Z185" i="5" s="1"/>
  <c r="Z122" i="20"/>
  <c r="V123" i="20"/>
  <c r="V124" i="20"/>
  <c r="AA183" i="5"/>
  <c r="Z184" i="5"/>
  <c r="I350" i="5"/>
  <c r="I328" i="5"/>
  <c r="G351" i="5"/>
  <c r="I306" i="5"/>
  <c r="G352" i="5"/>
  <c r="H352" i="5"/>
  <c r="T187" i="5"/>
  <c r="Z187" i="5" s="1"/>
  <c r="T190" i="5"/>
  <c r="Z190" i="5" s="1"/>
  <c r="T188" i="5"/>
  <c r="Z188" i="5" s="1"/>
  <c r="T186" i="5"/>
  <c r="Z186" i="5" s="1"/>
  <c r="H307" i="5"/>
  <c r="B307" i="5" s="1"/>
  <c r="G307" i="5"/>
  <c r="T189" i="5"/>
  <c r="Z189" i="5" s="1"/>
  <c r="O190" i="5"/>
  <c r="J191" i="5"/>
  <c r="T191" i="5"/>
  <c r="Z191" i="5" s="1"/>
  <c r="A191" i="5"/>
  <c r="Q191" i="5"/>
  <c r="W191" i="5" s="1"/>
  <c r="R191" i="5"/>
  <c r="X191" i="5" s="1"/>
  <c r="K191" i="5"/>
  <c r="S191" i="5"/>
  <c r="Y191" i="5" s="1"/>
  <c r="H329" i="5"/>
  <c r="G329" i="5"/>
  <c r="B352" i="5" l="1"/>
  <c r="AB124" i="20"/>
  <c r="I429" i="5"/>
  <c r="G430" i="5"/>
  <c r="B329" i="5"/>
  <c r="U124" i="20"/>
  <c r="AA124" i="20" s="1"/>
  <c r="AC124" i="20" s="1"/>
  <c r="D122" i="20" s="1"/>
  <c r="AA184" i="5"/>
  <c r="AB123" i="20"/>
  <c r="U187" i="5"/>
  <c r="AA187" i="5" s="1"/>
  <c r="AB183" i="5"/>
  <c r="V190" i="5"/>
  <c r="AB190" i="5" s="1"/>
  <c r="V188" i="5"/>
  <c r="AB188" i="5" s="1"/>
  <c r="V191" i="5"/>
  <c r="AB191" i="5" s="1"/>
  <c r="V186" i="5"/>
  <c r="AB186" i="5" s="1"/>
  <c r="V189" i="5"/>
  <c r="AB189" i="5" s="1"/>
  <c r="V187" i="5"/>
  <c r="AB187" i="5" s="1"/>
  <c r="V185" i="5"/>
  <c r="AB185" i="5" s="1"/>
  <c r="U189" i="5"/>
  <c r="AA189" i="5" s="1"/>
  <c r="U186" i="5"/>
  <c r="AA186" i="5" s="1"/>
  <c r="U191" i="5"/>
  <c r="AA191" i="5" s="1"/>
  <c r="U188" i="5"/>
  <c r="AA188" i="5" s="1"/>
  <c r="U185" i="5"/>
  <c r="AA185" i="5" s="1"/>
  <c r="U190" i="5"/>
  <c r="AA190" i="5" s="1"/>
  <c r="AC190" i="5" s="1"/>
  <c r="AJ190" i="5" s="1"/>
  <c r="C14" i="11"/>
  <c r="B14" i="11" s="1"/>
  <c r="AA123" i="20"/>
  <c r="N191" i="5"/>
  <c r="I351" i="5"/>
  <c r="I352" i="5" s="1"/>
  <c r="I329" i="5"/>
  <c r="O191" i="5"/>
  <c r="I307" i="5"/>
  <c r="G353" i="5"/>
  <c r="H353" i="5"/>
  <c r="H308" i="5"/>
  <c r="B308" i="5" s="1"/>
  <c r="G308" i="5"/>
  <c r="J192" i="5"/>
  <c r="K192" i="5"/>
  <c r="R192" i="5"/>
  <c r="X192" i="5" s="1"/>
  <c r="Q192" i="5"/>
  <c r="W192" i="5" s="1"/>
  <c r="T192" i="5"/>
  <c r="Z192" i="5" s="1"/>
  <c r="A192" i="5"/>
  <c r="S192" i="5"/>
  <c r="Y192" i="5" s="1"/>
  <c r="U192" i="5"/>
  <c r="AA192" i="5" s="1"/>
  <c r="V192" i="5"/>
  <c r="AB192" i="5" s="1"/>
  <c r="H330" i="5"/>
  <c r="G330" i="5"/>
  <c r="B353" i="5" l="1"/>
  <c r="B330" i="5"/>
  <c r="I430" i="5"/>
  <c r="G431" i="5"/>
  <c r="AC123" i="20"/>
  <c r="D121" i="20" s="1"/>
  <c r="D127" i="20" s="1"/>
  <c r="N192" i="5"/>
  <c r="AC187" i="5"/>
  <c r="AJ187" i="5" s="1"/>
  <c r="AC188" i="5"/>
  <c r="AD188" i="5" s="1"/>
  <c r="AC189" i="5"/>
  <c r="AD189" i="5" s="1"/>
  <c r="AC185" i="5"/>
  <c r="AF185" i="5" s="1"/>
  <c r="AC191" i="5"/>
  <c r="AD191" i="5" s="1"/>
  <c r="AC186" i="5"/>
  <c r="AJ186" i="5" s="1"/>
  <c r="C15" i="11"/>
  <c r="B15" i="11" s="1"/>
  <c r="I330" i="5"/>
  <c r="AD190" i="5"/>
  <c r="AC192" i="5"/>
  <c r="AJ192" i="5" s="1"/>
  <c r="I308" i="5"/>
  <c r="O192" i="5"/>
  <c r="I353" i="5"/>
  <c r="G354" i="5"/>
  <c r="H354" i="5"/>
  <c r="B354" i="5" s="1"/>
  <c r="H309" i="5"/>
  <c r="B309" i="5" s="1"/>
  <c r="G309" i="5"/>
  <c r="J193" i="5"/>
  <c r="S193" i="5"/>
  <c r="Y193" i="5" s="1"/>
  <c r="V193" i="5"/>
  <c r="AB193" i="5" s="1"/>
  <c r="U193" i="5"/>
  <c r="AA193" i="5" s="1"/>
  <c r="T193" i="5"/>
  <c r="Z193" i="5" s="1"/>
  <c r="K193" i="5"/>
  <c r="R193" i="5"/>
  <c r="X193" i="5" s="1"/>
  <c r="Q193" i="5"/>
  <c r="W193" i="5" s="1"/>
  <c r="A193" i="5"/>
  <c r="H331" i="5"/>
  <c r="G331" i="5"/>
  <c r="B331" i="5" l="1"/>
  <c r="I431" i="5"/>
  <c r="G432" i="5"/>
  <c r="AD187" i="5"/>
  <c r="N193" i="5"/>
  <c r="AJ189" i="5"/>
  <c r="AD186" i="5"/>
  <c r="AJ188" i="5"/>
  <c r="AF186" i="5"/>
  <c r="AF187" i="5" s="1"/>
  <c r="AF188" i="5" s="1"/>
  <c r="AF189" i="5" s="1"/>
  <c r="AF190" i="5" s="1"/>
  <c r="AF191" i="5" s="1"/>
  <c r="AF192" i="5" s="1"/>
  <c r="AJ191" i="5"/>
  <c r="AD185" i="5"/>
  <c r="AJ185" i="5"/>
  <c r="AH185" i="5" s="1"/>
  <c r="AH186" i="5" s="1"/>
  <c r="AH187" i="5" s="1"/>
  <c r="C16" i="11"/>
  <c r="C17" i="11" s="1"/>
  <c r="I331" i="5"/>
  <c r="I309" i="5"/>
  <c r="AD192" i="5"/>
  <c r="AC193" i="5"/>
  <c r="AD193" i="5" s="1"/>
  <c r="I354" i="5"/>
  <c r="O193" i="5"/>
  <c r="H355" i="5"/>
  <c r="B355" i="5" s="1"/>
  <c r="G355" i="5"/>
  <c r="H310" i="5"/>
  <c r="B310" i="5" s="1"/>
  <c r="G310" i="5"/>
  <c r="A194" i="5"/>
  <c r="V194" i="5"/>
  <c r="AB194" i="5" s="1"/>
  <c r="J194" i="5"/>
  <c r="K194" i="5"/>
  <c r="U194" i="5"/>
  <c r="AA194" i="5" s="1"/>
  <c r="R194" i="5"/>
  <c r="X194" i="5" s="1"/>
  <c r="S194" i="5"/>
  <c r="Y194" i="5" s="1"/>
  <c r="T194" i="5"/>
  <c r="Z194" i="5" s="1"/>
  <c r="Q194" i="5"/>
  <c r="W194" i="5" s="1"/>
  <c r="G332" i="5"/>
  <c r="H332" i="5"/>
  <c r="B332" i="5" s="1"/>
  <c r="N194" i="5" l="1"/>
  <c r="AH188" i="5"/>
  <c r="AH189" i="5" s="1"/>
  <c r="AH190" i="5" s="1"/>
  <c r="I432" i="5"/>
  <c r="G433" i="5"/>
  <c r="C18" i="11"/>
  <c r="B18" i="11" s="1"/>
  <c r="B17" i="11"/>
  <c r="AH191" i="5"/>
  <c r="AH192" i="5" s="1"/>
  <c r="I332" i="5"/>
  <c r="O194" i="5"/>
  <c r="I310" i="5"/>
  <c r="AF193" i="5"/>
  <c r="AJ193" i="5"/>
  <c r="AH193" i="5" s="1"/>
  <c r="AC194" i="5"/>
  <c r="I355" i="5"/>
  <c r="G356" i="5"/>
  <c r="H356" i="5"/>
  <c r="B356" i="5" s="1"/>
  <c r="H311" i="5"/>
  <c r="B311" i="5" s="1"/>
  <c r="G311" i="5"/>
  <c r="J195" i="5"/>
  <c r="U195" i="5"/>
  <c r="AA195" i="5" s="1"/>
  <c r="V195" i="5"/>
  <c r="AB195" i="5" s="1"/>
  <c r="K195" i="5"/>
  <c r="T195" i="5"/>
  <c r="Z195" i="5" s="1"/>
  <c r="Q195" i="5"/>
  <c r="W195" i="5" s="1"/>
  <c r="R195" i="5"/>
  <c r="X195" i="5" s="1"/>
  <c r="A195" i="5"/>
  <c r="S195" i="5"/>
  <c r="Y195" i="5" s="1"/>
  <c r="H333" i="5"/>
  <c r="B333" i="5" s="1"/>
  <c r="G333" i="5"/>
  <c r="N195" i="5" l="1"/>
  <c r="I433" i="5"/>
  <c r="G434" i="5"/>
  <c r="I333" i="5"/>
  <c r="O195" i="5"/>
  <c r="C19" i="11"/>
  <c r="B19" i="11" s="1"/>
  <c r="AF194" i="5"/>
  <c r="I311" i="5"/>
  <c r="AD194" i="5"/>
  <c r="AJ194" i="5"/>
  <c r="AH194" i="5" s="1"/>
  <c r="AC195" i="5"/>
  <c r="AD195" i="5" s="1"/>
  <c r="I356" i="5"/>
  <c r="G357" i="5"/>
  <c r="H357" i="5"/>
  <c r="B357" i="5" s="1"/>
  <c r="H312" i="5"/>
  <c r="B312" i="5" s="1"/>
  <c r="G312" i="5"/>
  <c r="K196" i="5"/>
  <c r="R196" i="5"/>
  <c r="X196" i="5" s="1"/>
  <c r="Q196" i="5"/>
  <c r="W196" i="5" s="1"/>
  <c r="A196" i="5"/>
  <c r="J196" i="5"/>
  <c r="N196" i="5" s="1"/>
  <c r="S196" i="5"/>
  <c r="Y196" i="5" s="1"/>
  <c r="V196" i="5"/>
  <c r="AB196" i="5" s="1"/>
  <c r="U196" i="5"/>
  <c r="AA196" i="5" s="1"/>
  <c r="T196" i="5"/>
  <c r="Z196" i="5" s="1"/>
  <c r="H334" i="5"/>
  <c r="B334" i="5" s="1"/>
  <c r="G334" i="5"/>
  <c r="I434" i="5" l="1"/>
  <c r="G435" i="5"/>
  <c r="I334" i="5"/>
  <c r="I357" i="5"/>
  <c r="O196" i="5"/>
  <c r="C20" i="11"/>
  <c r="B20" i="11" s="1"/>
  <c r="AF195" i="5"/>
  <c r="AJ195" i="5"/>
  <c r="AH195" i="5" s="1"/>
  <c r="AC196" i="5"/>
  <c r="AJ196" i="5" s="1"/>
  <c r="I312" i="5"/>
  <c r="G358" i="5"/>
  <c r="H358" i="5"/>
  <c r="B358" i="5" s="1"/>
  <c r="H313" i="5"/>
  <c r="B313" i="5" s="1"/>
  <c r="G313" i="5"/>
  <c r="A197" i="5"/>
  <c r="V197" i="5"/>
  <c r="AB197" i="5" s="1"/>
  <c r="T197" i="5"/>
  <c r="Z197" i="5" s="1"/>
  <c r="Q197" i="5"/>
  <c r="W197" i="5" s="1"/>
  <c r="J197" i="5"/>
  <c r="N197" i="5" s="1"/>
  <c r="R197" i="5"/>
  <c r="X197" i="5" s="1"/>
  <c r="S197" i="5"/>
  <c r="Y197" i="5" s="1"/>
  <c r="K197" i="5"/>
  <c r="U197" i="5"/>
  <c r="AA197" i="5" s="1"/>
  <c r="H335" i="5"/>
  <c r="B335" i="5" s="1"/>
  <c r="G335" i="5"/>
  <c r="I335" i="5" l="1"/>
  <c r="I435" i="5"/>
  <c r="G436" i="5"/>
  <c r="I313" i="5"/>
  <c r="I358" i="5"/>
  <c r="O197" i="5"/>
  <c r="C21" i="11"/>
  <c r="B21" i="11" s="1"/>
  <c r="AF196" i="5"/>
  <c r="AH196" i="5"/>
  <c r="AD196" i="5"/>
  <c r="AC197" i="5"/>
  <c r="AJ197" i="5" s="1"/>
  <c r="AH197" i="5" s="1"/>
  <c r="H359" i="5"/>
  <c r="B359" i="5" s="1"/>
  <c r="G359" i="5"/>
  <c r="I359" i="5" s="1"/>
  <c r="H314" i="5"/>
  <c r="B314" i="5" s="1"/>
  <c r="G314" i="5"/>
  <c r="A198" i="5"/>
  <c r="V198" i="5"/>
  <c r="AB198" i="5" s="1"/>
  <c r="T198" i="5"/>
  <c r="Z198" i="5" s="1"/>
  <c r="K198" i="5"/>
  <c r="U198" i="5"/>
  <c r="AA198" i="5" s="1"/>
  <c r="R198" i="5"/>
  <c r="X198" i="5" s="1"/>
  <c r="S198" i="5"/>
  <c r="Y198" i="5" s="1"/>
  <c r="J198" i="5"/>
  <c r="N198" i="5" s="1"/>
  <c r="Q198" i="5"/>
  <c r="W198" i="5" s="1"/>
  <c r="G336" i="5"/>
  <c r="I336" i="5" s="1"/>
  <c r="H336" i="5"/>
  <c r="B336" i="5" s="1"/>
  <c r="I436" i="5" l="1"/>
  <c r="G437" i="5"/>
  <c r="O198" i="5"/>
  <c r="C22" i="11"/>
  <c r="C23" i="11" s="1"/>
  <c r="B23" i="11" s="1"/>
  <c r="AF197" i="5"/>
  <c r="AD197" i="5"/>
  <c r="AC198" i="5"/>
  <c r="I314" i="5"/>
  <c r="G360" i="5"/>
  <c r="I360" i="5" s="1"/>
  <c r="H360" i="5"/>
  <c r="B360" i="5" s="1"/>
  <c r="H315" i="5"/>
  <c r="B315" i="5" s="1"/>
  <c r="G315" i="5"/>
  <c r="J199" i="5"/>
  <c r="N199" i="5" s="1"/>
  <c r="R199" i="5"/>
  <c r="X199" i="5" s="1"/>
  <c r="S199" i="5"/>
  <c r="Y199" i="5" s="1"/>
  <c r="K199" i="5"/>
  <c r="U199" i="5"/>
  <c r="AA199" i="5" s="1"/>
  <c r="A199" i="5"/>
  <c r="V199" i="5"/>
  <c r="AB199" i="5" s="1"/>
  <c r="T199" i="5"/>
  <c r="Z199" i="5" s="1"/>
  <c r="Q199" i="5"/>
  <c r="W199" i="5" s="1"/>
  <c r="H338" i="5"/>
  <c r="G338" i="5"/>
  <c r="H337" i="5"/>
  <c r="B337" i="5" s="1"/>
  <c r="G337" i="5"/>
  <c r="I437" i="5" l="1"/>
  <c r="G438" i="5"/>
  <c r="B338" i="5"/>
  <c r="O199" i="5"/>
  <c r="D82" i="20"/>
  <c r="D81" i="20"/>
  <c r="E113" i="20" s="1"/>
  <c r="D77" i="20"/>
  <c r="D76" i="20"/>
  <c r="E114" i="20" s="1"/>
  <c r="C24" i="11"/>
  <c r="B24" i="11" s="1"/>
  <c r="AF198" i="5"/>
  <c r="AD198" i="5"/>
  <c r="AJ198" i="5"/>
  <c r="AH198" i="5" s="1"/>
  <c r="AC199" i="5"/>
  <c r="I315" i="5"/>
  <c r="O303" i="5"/>
  <c r="H361" i="5"/>
  <c r="B361" i="5" s="1"/>
  <c r="G361" i="5"/>
  <c r="I361" i="5" s="1"/>
  <c r="O299" i="5"/>
  <c r="O300" i="5" s="1"/>
  <c r="O301" i="5" s="1"/>
  <c r="O302" i="5" s="1"/>
  <c r="R200" i="5"/>
  <c r="X200" i="5" s="1"/>
  <c r="K200" i="5"/>
  <c r="O200" i="5" s="1"/>
  <c r="A200" i="5"/>
  <c r="Q200" i="5"/>
  <c r="W200" i="5" s="1"/>
  <c r="J200" i="5"/>
  <c r="N200" i="5" s="1"/>
  <c r="V200" i="5"/>
  <c r="AB200" i="5" s="1"/>
  <c r="S200" i="5"/>
  <c r="Y200" i="5" s="1"/>
  <c r="T200" i="5"/>
  <c r="Z200" i="5" s="1"/>
  <c r="U200" i="5"/>
  <c r="AA200" i="5" s="1"/>
  <c r="O326" i="5"/>
  <c r="O322" i="5"/>
  <c r="O323" i="5" s="1"/>
  <c r="O324" i="5" s="1"/>
  <c r="O325" i="5" s="1"/>
  <c r="I337" i="5"/>
  <c r="I338" i="5" s="1"/>
  <c r="G439" i="5" l="1"/>
  <c r="I438" i="5"/>
  <c r="O321" i="5"/>
  <c r="I379" i="5" s="1"/>
  <c r="D78" i="20"/>
  <c r="D83" i="20"/>
  <c r="C130" i="20"/>
  <c r="B130" i="20"/>
  <c r="D130" i="20"/>
  <c r="AF199" i="5"/>
  <c r="C25" i="11"/>
  <c r="B25" i="11" s="1"/>
  <c r="AD199" i="5"/>
  <c r="AJ199" i="5"/>
  <c r="AH199" i="5" s="1"/>
  <c r="AC200" i="5"/>
  <c r="O298" i="5"/>
  <c r="I378" i="5" s="1"/>
  <c r="H362" i="5"/>
  <c r="B362" i="5" s="1"/>
  <c r="G362" i="5"/>
  <c r="I362" i="5" s="1"/>
  <c r="J201" i="5"/>
  <c r="N201" i="5" s="1"/>
  <c r="U201" i="5"/>
  <c r="AA201" i="5" s="1"/>
  <c r="S201" i="5"/>
  <c r="Y201" i="5" s="1"/>
  <c r="Q201" i="5"/>
  <c r="W201" i="5" s="1"/>
  <c r="A201" i="5"/>
  <c r="V201" i="5"/>
  <c r="AB201" i="5" s="1"/>
  <c r="T201" i="5"/>
  <c r="Z201" i="5" s="1"/>
  <c r="R201" i="5"/>
  <c r="X201" i="5" s="1"/>
  <c r="K201" i="5"/>
  <c r="O201" i="5" s="1"/>
  <c r="I439" i="5" l="1"/>
  <c r="G440" i="5"/>
  <c r="B133" i="20"/>
  <c r="C134" i="20" s="1"/>
  <c r="D136" i="20" s="1"/>
  <c r="AF200" i="5"/>
  <c r="C26" i="11"/>
  <c r="B26" i="11" s="1"/>
  <c r="AD200" i="5"/>
  <c r="AJ200" i="5"/>
  <c r="AH200" i="5" s="1"/>
  <c r="AC201" i="5"/>
  <c r="G363" i="5"/>
  <c r="I363" i="5" s="1"/>
  <c r="H363" i="5"/>
  <c r="B363" i="5" s="1"/>
  <c r="K202" i="5"/>
  <c r="O202" i="5" s="1"/>
  <c r="R202" i="5"/>
  <c r="X202" i="5" s="1"/>
  <c r="J202" i="5"/>
  <c r="N202" i="5" s="1"/>
  <c r="U202" i="5"/>
  <c r="AA202" i="5" s="1"/>
  <c r="T202" i="5"/>
  <c r="Z202" i="5" s="1"/>
  <c r="S202" i="5"/>
  <c r="Y202" i="5" s="1"/>
  <c r="V202" i="5"/>
  <c r="AB202" i="5" s="1"/>
  <c r="Q202" i="5"/>
  <c r="W202" i="5" s="1"/>
  <c r="A202" i="5"/>
  <c r="I440" i="5" l="1"/>
  <c r="G441" i="5"/>
  <c r="D140" i="20"/>
  <c r="D144" i="20" s="1"/>
  <c r="AF201" i="5"/>
  <c r="C27" i="11"/>
  <c r="B27" i="11" s="1"/>
  <c r="AJ201" i="5"/>
  <c r="AH201" i="5" s="1"/>
  <c r="AD201" i="5"/>
  <c r="AC202" i="5"/>
  <c r="AJ202" i="5" s="1"/>
  <c r="G364" i="5"/>
  <c r="I364" i="5" s="1"/>
  <c r="H364" i="5"/>
  <c r="B364" i="5" s="1"/>
  <c r="K203" i="5"/>
  <c r="O203" i="5" s="1"/>
  <c r="R203" i="5"/>
  <c r="X203" i="5" s="1"/>
  <c r="Q203" i="5"/>
  <c r="W203" i="5" s="1"/>
  <c r="A203" i="5"/>
  <c r="J203" i="5"/>
  <c r="N203" i="5" s="1"/>
  <c r="S203" i="5"/>
  <c r="Y203" i="5" s="1"/>
  <c r="V203" i="5"/>
  <c r="AB203" i="5" s="1"/>
  <c r="U203" i="5"/>
  <c r="AA203" i="5" s="1"/>
  <c r="T203" i="5"/>
  <c r="Z203" i="5" s="1"/>
  <c r="G442" i="5" l="1"/>
  <c r="I441" i="5"/>
  <c r="AF202" i="5"/>
  <c r="C28" i="11"/>
  <c r="B28" i="11" s="1"/>
  <c r="AH202" i="5"/>
  <c r="AD202" i="5"/>
  <c r="AC203" i="5"/>
  <c r="AJ203" i="5" s="1"/>
  <c r="AH203" i="5" s="1"/>
  <c r="H365" i="5"/>
  <c r="B365" i="5" s="1"/>
  <c r="G365" i="5"/>
  <c r="I365" i="5" s="1"/>
  <c r="K204" i="5"/>
  <c r="O204" i="5" s="1"/>
  <c r="Q204" i="5"/>
  <c r="W204" i="5" s="1"/>
  <c r="R204" i="5"/>
  <c r="X204" i="5" s="1"/>
  <c r="V204" i="5"/>
  <c r="AB204" i="5" s="1"/>
  <c r="J204" i="5"/>
  <c r="N204" i="5" s="1"/>
  <c r="T204" i="5"/>
  <c r="Z204" i="5" s="1"/>
  <c r="S204" i="5"/>
  <c r="Y204" i="5" s="1"/>
  <c r="A204" i="5"/>
  <c r="U204" i="5"/>
  <c r="AA204" i="5" s="1"/>
  <c r="G443" i="5" l="1"/>
  <c r="I442" i="5"/>
  <c r="AF203" i="5"/>
  <c r="C29" i="11"/>
  <c r="B29" i="11" s="1"/>
  <c r="AD203" i="5"/>
  <c r="AC204" i="5"/>
  <c r="G366" i="5"/>
  <c r="I366" i="5" s="1"/>
  <c r="H366" i="5"/>
  <c r="B366" i="5" s="1"/>
  <c r="K205" i="5"/>
  <c r="O205" i="5" s="1"/>
  <c r="T205" i="5"/>
  <c r="Z205" i="5" s="1"/>
  <c r="R205" i="5"/>
  <c r="X205" i="5" s="1"/>
  <c r="S205" i="5"/>
  <c r="Y205" i="5" s="1"/>
  <c r="J205" i="5"/>
  <c r="N205" i="5" s="1"/>
  <c r="U205" i="5"/>
  <c r="AA205" i="5" s="1"/>
  <c r="Q205" i="5"/>
  <c r="W205" i="5" s="1"/>
  <c r="A205" i="5"/>
  <c r="V205" i="5"/>
  <c r="AB205" i="5" s="1"/>
  <c r="C6" i="1"/>
  <c r="C7" i="1" s="1"/>
  <c r="G444" i="5" l="1"/>
  <c r="I443" i="5"/>
  <c r="AF204" i="5"/>
  <c r="C30" i="11"/>
  <c r="B30" i="11" s="1"/>
  <c r="AD204" i="5"/>
  <c r="AJ204" i="5"/>
  <c r="AH204" i="5" s="1"/>
  <c r="AC205" i="5"/>
  <c r="H367" i="5"/>
  <c r="B367" i="5" s="1"/>
  <c r="G367" i="5"/>
  <c r="I367" i="5" s="1"/>
  <c r="V206" i="5"/>
  <c r="AB206" i="5" s="1"/>
  <c r="S206" i="5"/>
  <c r="Y206" i="5" s="1"/>
  <c r="J206" i="5"/>
  <c r="N206" i="5" s="1"/>
  <c r="Q206" i="5"/>
  <c r="W206" i="5" s="1"/>
  <c r="R206" i="5"/>
  <c r="X206" i="5" s="1"/>
  <c r="K206" i="5"/>
  <c r="O206" i="5" s="1"/>
  <c r="A206" i="5"/>
  <c r="T206" i="5"/>
  <c r="Z206" i="5" s="1"/>
  <c r="U206" i="5"/>
  <c r="AA206" i="5" s="1"/>
  <c r="D6" i="11"/>
  <c r="C8" i="1"/>
  <c r="D7" i="11"/>
  <c r="G445" i="5" l="1"/>
  <c r="I444" i="5"/>
  <c r="AF205" i="5"/>
  <c r="C31" i="11"/>
  <c r="B31" i="11" s="1"/>
  <c r="AJ205" i="5"/>
  <c r="AH205" i="5" s="1"/>
  <c r="AD205" i="5"/>
  <c r="AC206" i="5"/>
  <c r="H368" i="5"/>
  <c r="B368" i="5" s="1"/>
  <c r="G368" i="5"/>
  <c r="I368" i="5" s="1"/>
  <c r="J207" i="5"/>
  <c r="N207" i="5" s="1"/>
  <c r="S207" i="5"/>
  <c r="Y207" i="5" s="1"/>
  <c r="V207" i="5"/>
  <c r="AB207" i="5" s="1"/>
  <c r="U207" i="5"/>
  <c r="AA207" i="5" s="1"/>
  <c r="T207" i="5"/>
  <c r="Z207" i="5" s="1"/>
  <c r="K207" i="5"/>
  <c r="O207" i="5" s="1"/>
  <c r="R207" i="5"/>
  <c r="X207" i="5" s="1"/>
  <c r="Q207" i="5"/>
  <c r="W207" i="5" s="1"/>
  <c r="A207" i="5"/>
  <c r="C11" i="1"/>
  <c r="D8" i="11"/>
  <c r="I445" i="5" l="1"/>
  <c r="G446" i="5"/>
  <c r="AF206" i="5"/>
  <c r="C32" i="11"/>
  <c r="B32" i="11" s="1"/>
  <c r="AJ206" i="5"/>
  <c r="AH206" i="5" s="1"/>
  <c r="AD206" i="5"/>
  <c r="AC207" i="5"/>
  <c r="AJ207" i="5" s="1"/>
  <c r="AH207" i="5" s="1"/>
  <c r="G369" i="5"/>
  <c r="I369" i="5" s="1"/>
  <c r="H369" i="5"/>
  <c r="B369" i="5" s="1"/>
  <c r="J208" i="5"/>
  <c r="N208" i="5" s="1"/>
  <c r="V208" i="5"/>
  <c r="AB208" i="5" s="1"/>
  <c r="S208" i="5"/>
  <c r="Y208" i="5" s="1"/>
  <c r="T208" i="5"/>
  <c r="Z208" i="5" s="1"/>
  <c r="U208" i="5"/>
  <c r="AA208" i="5" s="1"/>
  <c r="R208" i="5"/>
  <c r="X208" i="5" s="1"/>
  <c r="K208" i="5"/>
  <c r="O208" i="5" s="1"/>
  <c r="A208" i="5"/>
  <c r="Q208" i="5"/>
  <c r="W208" i="5" s="1"/>
  <c r="C12" i="1"/>
  <c r="D9" i="11"/>
  <c r="AD207" i="5" l="1"/>
  <c r="G447" i="5"/>
  <c r="I446" i="5"/>
  <c r="C33" i="11"/>
  <c r="B33" i="11" s="1"/>
  <c r="AF207" i="5"/>
  <c r="AC208" i="5"/>
  <c r="AD208" i="5" s="1"/>
  <c r="G370" i="5"/>
  <c r="I370" i="5" s="1"/>
  <c r="H370" i="5"/>
  <c r="B370" i="5" s="1"/>
  <c r="K209" i="5"/>
  <c r="O209" i="5" s="1"/>
  <c r="R209" i="5"/>
  <c r="X209" i="5" s="1"/>
  <c r="Q209" i="5"/>
  <c r="W209" i="5" s="1"/>
  <c r="A209" i="5"/>
  <c r="J209" i="5"/>
  <c r="N209" i="5" s="1"/>
  <c r="S209" i="5"/>
  <c r="Y209" i="5" s="1"/>
  <c r="V209" i="5"/>
  <c r="AB209" i="5" s="1"/>
  <c r="U209" i="5"/>
  <c r="AA209" i="5" s="1"/>
  <c r="T209" i="5"/>
  <c r="Z209" i="5" s="1"/>
  <c r="AJ208" i="5"/>
  <c r="AH208" i="5" s="1"/>
  <c r="C15" i="1"/>
  <c r="D10" i="11"/>
  <c r="G448" i="5" l="1"/>
  <c r="I447" i="5"/>
  <c r="C34" i="11"/>
  <c r="AF208" i="5"/>
  <c r="AC209" i="5"/>
  <c r="AD209" i="5" s="1"/>
  <c r="H371" i="5"/>
  <c r="B371" i="5" s="1"/>
  <c r="G371" i="5"/>
  <c r="I371" i="5" s="1"/>
  <c r="A210" i="5"/>
  <c r="U210" i="5"/>
  <c r="AA210" i="5" s="1"/>
  <c r="J210" i="5"/>
  <c r="N210" i="5" s="1"/>
  <c r="K210" i="5"/>
  <c r="O210" i="5" s="1"/>
  <c r="V210" i="5"/>
  <c r="AB210" i="5" s="1"/>
  <c r="S210" i="5"/>
  <c r="Y210" i="5" s="1"/>
  <c r="Q210" i="5"/>
  <c r="W210" i="5" s="1"/>
  <c r="T210" i="5"/>
  <c r="Z210" i="5" s="1"/>
  <c r="R210" i="5"/>
  <c r="X210" i="5" s="1"/>
  <c r="C17" i="1"/>
  <c r="D11" i="11"/>
  <c r="D12" i="11"/>
  <c r="G449" i="5" l="1"/>
  <c r="I448" i="5"/>
  <c r="C35" i="11"/>
  <c r="C36" i="11" s="1"/>
  <c r="B36" i="11" s="1"/>
  <c r="B34" i="11"/>
  <c r="AF209" i="5"/>
  <c r="AJ209" i="5"/>
  <c r="AH209" i="5" s="1"/>
  <c r="AC210" i="5"/>
  <c r="H372" i="5"/>
  <c r="B372" i="5" s="1"/>
  <c r="G372" i="5"/>
  <c r="I372" i="5" s="1"/>
  <c r="K211" i="5"/>
  <c r="O211" i="5" s="1"/>
  <c r="R211" i="5"/>
  <c r="X211" i="5" s="1"/>
  <c r="Q211" i="5"/>
  <c r="W211" i="5" s="1"/>
  <c r="A211" i="5"/>
  <c r="J211" i="5"/>
  <c r="N211" i="5" s="1"/>
  <c r="S211" i="5"/>
  <c r="Y211" i="5" s="1"/>
  <c r="V211" i="5"/>
  <c r="AB211" i="5" s="1"/>
  <c r="U211" i="5"/>
  <c r="AA211" i="5" s="1"/>
  <c r="T211" i="5"/>
  <c r="Z211" i="5" s="1"/>
  <c r="C21" i="1"/>
  <c r="D13" i="11"/>
  <c r="AF210" i="5" l="1"/>
  <c r="C37" i="11"/>
  <c r="C38" i="11" s="1"/>
  <c r="G450" i="5"/>
  <c r="I449" i="5"/>
  <c r="B37" i="11"/>
  <c r="AJ210" i="5"/>
  <c r="AH210" i="5" s="1"/>
  <c r="AD210" i="5"/>
  <c r="AC211" i="5"/>
  <c r="H373" i="5"/>
  <c r="B373" i="5" s="1"/>
  <c r="G373" i="5"/>
  <c r="J212" i="5"/>
  <c r="N212" i="5" s="1"/>
  <c r="S212" i="5"/>
  <c r="Y212" i="5" s="1"/>
  <c r="V212" i="5"/>
  <c r="AB212" i="5" s="1"/>
  <c r="U212" i="5"/>
  <c r="AA212" i="5" s="1"/>
  <c r="T212" i="5"/>
  <c r="Z212" i="5" s="1"/>
  <c r="K212" i="5"/>
  <c r="O212" i="5" s="1"/>
  <c r="R212" i="5"/>
  <c r="X212" i="5" s="1"/>
  <c r="Q212" i="5"/>
  <c r="W212" i="5" s="1"/>
  <c r="A212" i="5"/>
  <c r="C24" i="1"/>
  <c r="D14" i="11"/>
  <c r="AF211" i="5" l="1"/>
  <c r="B38" i="11"/>
  <c r="C39" i="11"/>
  <c r="C40" i="11" s="1"/>
  <c r="C41" i="11" s="1"/>
  <c r="C42" i="11" s="1"/>
  <c r="B42" i="11" s="1"/>
  <c r="I450" i="5"/>
  <c r="G451" i="5"/>
  <c r="D86" i="20"/>
  <c r="D87" i="20"/>
  <c r="AD211" i="5"/>
  <c r="AJ211" i="5"/>
  <c r="AH211" i="5" s="1"/>
  <c r="AC212" i="5"/>
  <c r="I373" i="5"/>
  <c r="O349" i="5"/>
  <c r="O345" i="5"/>
  <c r="O346" i="5" s="1"/>
  <c r="O347" i="5" s="1"/>
  <c r="O348" i="5" s="1"/>
  <c r="Q213" i="5"/>
  <c r="W213" i="5" s="1"/>
  <c r="R213" i="5"/>
  <c r="X213" i="5" s="1"/>
  <c r="K213" i="5"/>
  <c r="O213" i="5" s="1"/>
  <c r="S213" i="5"/>
  <c r="Y213" i="5" s="1"/>
  <c r="J213" i="5"/>
  <c r="N213" i="5" s="1"/>
  <c r="U213" i="5"/>
  <c r="AA213" i="5" s="1"/>
  <c r="V213" i="5"/>
  <c r="AB213" i="5" s="1"/>
  <c r="A213" i="5"/>
  <c r="T213" i="5"/>
  <c r="Z213" i="5" s="1"/>
  <c r="C25" i="1"/>
  <c r="D15" i="11"/>
  <c r="D16" i="11"/>
  <c r="AF212" i="5" l="1"/>
  <c r="G452" i="5"/>
  <c r="I451" i="5"/>
  <c r="O344" i="5"/>
  <c r="I380" i="5" s="1"/>
  <c r="AJ212" i="5"/>
  <c r="AH212" i="5" s="1"/>
  <c r="D88" i="20"/>
  <c r="F90" i="20" s="1"/>
  <c r="E83" i="19" s="1"/>
  <c r="C43" i="11"/>
  <c r="B43" i="11" s="1"/>
  <c r="AD212" i="5"/>
  <c r="AC213" i="5"/>
  <c r="AF213" i="5" s="1"/>
  <c r="R214" i="5"/>
  <c r="X214" i="5" s="1"/>
  <c r="K214" i="5"/>
  <c r="O214" i="5" s="1"/>
  <c r="A214" i="5"/>
  <c r="T214" i="5"/>
  <c r="Z214" i="5" s="1"/>
  <c r="U214" i="5"/>
  <c r="AA214" i="5" s="1"/>
  <c r="V214" i="5"/>
  <c r="AB214" i="5" s="1"/>
  <c r="S214" i="5"/>
  <c r="Y214" i="5" s="1"/>
  <c r="J214" i="5"/>
  <c r="N214" i="5" s="1"/>
  <c r="Q214" i="5"/>
  <c r="W214" i="5" s="1"/>
  <c r="C27" i="1"/>
  <c r="D17" i="11"/>
  <c r="G453" i="5" l="1"/>
  <c r="I452" i="5"/>
  <c r="I383" i="5"/>
  <c r="I389" i="5" s="1"/>
  <c r="C44" i="11"/>
  <c r="C45" i="11" s="1"/>
  <c r="B45" i="11" s="1"/>
  <c r="E86" i="19"/>
  <c r="E80" i="19"/>
  <c r="E78" i="19"/>
  <c r="B78" i="19" s="1"/>
  <c r="E82" i="19"/>
  <c r="E79" i="19"/>
  <c r="E85" i="19"/>
  <c r="E84" i="19"/>
  <c r="E77" i="19"/>
  <c r="B77" i="19" s="1"/>
  <c r="E81" i="19"/>
  <c r="AJ213" i="5"/>
  <c r="AH213" i="5" s="1"/>
  <c r="AD213" i="5"/>
  <c r="AC214" i="5"/>
  <c r="AF214" i="5" s="1"/>
  <c r="K215" i="5"/>
  <c r="O215" i="5" s="1"/>
  <c r="R215" i="5"/>
  <c r="X215" i="5" s="1"/>
  <c r="Q215" i="5"/>
  <c r="W215" i="5" s="1"/>
  <c r="A215" i="5"/>
  <c r="J215" i="5"/>
  <c r="N215" i="5" s="1"/>
  <c r="S215" i="5"/>
  <c r="Y215" i="5" s="1"/>
  <c r="V215" i="5"/>
  <c r="AB215" i="5" s="1"/>
  <c r="U215" i="5"/>
  <c r="AA215" i="5" s="1"/>
  <c r="T215" i="5"/>
  <c r="Z215" i="5" s="1"/>
  <c r="C33" i="1"/>
  <c r="D18" i="11"/>
  <c r="B68" i="16" l="1"/>
  <c r="B70" i="16" s="1"/>
  <c r="C53" i="20" s="1"/>
  <c r="D568" i="5"/>
  <c r="E34" i="19" s="1"/>
  <c r="B34" i="19" s="1"/>
  <c r="I453" i="5"/>
  <c r="G454" i="5"/>
  <c r="I454" i="5" s="1"/>
  <c r="C46" i="11"/>
  <c r="C47" i="11" s="1"/>
  <c r="C48" i="11" s="1"/>
  <c r="C49" i="11" s="1"/>
  <c r="C50" i="11" s="1"/>
  <c r="B50" i="11" s="1"/>
  <c r="AJ214" i="5"/>
  <c r="AH214" i="5" s="1"/>
  <c r="AD214" i="5"/>
  <c r="AC215" i="5"/>
  <c r="AF215" i="5" s="1"/>
  <c r="K216" i="5"/>
  <c r="O216" i="5" s="1"/>
  <c r="R216" i="5"/>
  <c r="X216" i="5" s="1"/>
  <c r="Q216" i="5"/>
  <c r="W216" i="5" s="1"/>
  <c r="A216" i="5"/>
  <c r="J216" i="5"/>
  <c r="N216" i="5" s="1"/>
  <c r="S216" i="5"/>
  <c r="Y216" i="5" s="1"/>
  <c r="V216" i="5"/>
  <c r="AB216" i="5" s="1"/>
  <c r="U216" i="5"/>
  <c r="AA216" i="5" s="1"/>
  <c r="T216" i="5"/>
  <c r="Z216" i="5" s="1"/>
  <c r="C34" i="1"/>
  <c r="D19" i="11"/>
  <c r="E460" i="5" l="1"/>
  <c r="E462" i="5" s="1"/>
  <c r="E468" i="5" s="1"/>
  <c r="E568" i="5"/>
  <c r="E36" i="19"/>
  <c r="E39" i="19" s="1"/>
  <c r="C51" i="11"/>
  <c r="B51" i="11" s="1"/>
  <c r="E35" i="19"/>
  <c r="AJ215" i="5"/>
  <c r="AH215" i="5" s="1"/>
  <c r="AD215" i="5"/>
  <c r="AC216" i="5"/>
  <c r="AD216" i="5" s="1"/>
  <c r="J217" i="5"/>
  <c r="N217" i="5" s="1"/>
  <c r="R217" i="5"/>
  <c r="X217" i="5" s="1"/>
  <c r="S217" i="5"/>
  <c r="Y217" i="5" s="1"/>
  <c r="K217" i="5"/>
  <c r="O217" i="5" s="1"/>
  <c r="U217" i="5"/>
  <c r="AA217" i="5" s="1"/>
  <c r="A217" i="5"/>
  <c r="V217" i="5"/>
  <c r="AB217" i="5" s="1"/>
  <c r="T217" i="5"/>
  <c r="Z217" i="5" s="1"/>
  <c r="Q217" i="5"/>
  <c r="W217" i="5" s="1"/>
  <c r="C35" i="1"/>
  <c r="D20" i="11"/>
  <c r="E38" i="19" l="1"/>
  <c r="E42" i="19"/>
  <c r="E41" i="19"/>
  <c r="B36" i="19"/>
  <c r="E44" i="19"/>
  <c r="B35" i="19"/>
  <c r="C52" i="11"/>
  <c r="B52" i="11" s="1"/>
  <c r="AJ216" i="5"/>
  <c r="AH216" i="5" s="1"/>
  <c r="AF216" i="5"/>
  <c r="AC217" i="5"/>
  <c r="AD217" i="5" s="1"/>
  <c r="R218" i="5"/>
  <c r="X218" i="5" s="1"/>
  <c r="S218" i="5"/>
  <c r="Y218" i="5" s="1"/>
  <c r="T218" i="5"/>
  <c r="Z218" i="5" s="1"/>
  <c r="Q218" i="5"/>
  <c r="W218" i="5" s="1"/>
  <c r="A218" i="5"/>
  <c r="V218" i="5"/>
  <c r="AB218" i="5" s="1"/>
  <c r="J218" i="5"/>
  <c r="N218" i="5" s="1"/>
  <c r="K218" i="5"/>
  <c r="O218" i="5" s="1"/>
  <c r="U218" i="5"/>
  <c r="AA218" i="5" s="1"/>
  <c r="C37" i="1"/>
  <c r="D21" i="11"/>
  <c r="D22" i="11"/>
  <c r="C53" i="11" l="1"/>
  <c r="B53" i="11" s="1"/>
  <c r="AF217" i="5"/>
  <c r="AJ217" i="5"/>
  <c r="AH217" i="5" s="1"/>
  <c r="AC218" i="5"/>
  <c r="AD218" i="5" s="1"/>
  <c r="Q219" i="5"/>
  <c r="W219" i="5" s="1"/>
  <c r="R219" i="5"/>
  <c r="X219" i="5" s="1"/>
  <c r="K219" i="5"/>
  <c r="O219" i="5" s="1"/>
  <c r="S219" i="5"/>
  <c r="Y219" i="5" s="1"/>
  <c r="J219" i="5"/>
  <c r="N219" i="5" s="1"/>
  <c r="U219" i="5"/>
  <c r="AA219" i="5" s="1"/>
  <c r="V219" i="5"/>
  <c r="AB219" i="5" s="1"/>
  <c r="A219" i="5"/>
  <c r="T219" i="5"/>
  <c r="Z219" i="5" s="1"/>
  <c r="C42" i="1"/>
  <c r="D23" i="11"/>
  <c r="C54" i="11" l="1"/>
  <c r="B54" i="11" s="1"/>
  <c r="AJ218" i="5"/>
  <c r="AH218" i="5" s="1"/>
  <c r="AF218" i="5"/>
  <c r="AC219" i="5"/>
  <c r="AJ219" i="5" s="1"/>
  <c r="J220" i="5"/>
  <c r="N220" i="5" s="1"/>
  <c r="S220" i="5"/>
  <c r="Y220" i="5" s="1"/>
  <c r="T220" i="5"/>
  <c r="Z220" i="5" s="1"/>
  <c r="Q220" i="5"/>
  <c r="W220" i="5" s="1"/>
  <c r="V220" i="5"/>
  <c r="AB220" i="5" s="1"/>
  <c r="K220" i="5"/>
  <c r="O220" i="5" s="1"/>
  <c r="A220" i="5"/>
  <c r="R220" i="5"/>
  <c r="X220" i="5" s="1"/>
  <c r="U220" i="5"/>
  <c r="AA220" i="5" s="1"/>
  <c r="C53" i="1"/>
  <c r="D24" i="11"/>
  <c r="AH219" i="5" l="1"/>
  <c r="C55" i="11"/>
  <c r="B55" i="11" s="1"/>
  <c r="AF219" i="5"/>
  <c r="AD219" i="5"/>
  <c r="AC220" i="5"/>
  <c r="J221" i="5"/>
  <c r="N221" i="5" s="1"/>
  <c r="S221" i="5"/>
  <c r="Y221" i="5" s="1"/>
  <c r="V221" i="5"/>
  <c r="AB221" i="5" s="1"/>
  <c r="U221" i="5"/>
  <c r="AA221" i="5" s="1"/>
  <c r="T221" i="5"/>
  <c r="Z221" i="5" s="1"/>
  <c r="K221" i="5"/>
  <c r="O221" i="5" s="1"/>
  <c r="R221" i="5"/>
  <c r="X221" i="5" s="1"/>
  <c r="Q221" i="5"/>
  <c r="W221" i="5" s="1"/>
  <c r="A221" i="5"/>
  <c r="C58" i="1"/>
  <c r="D25" i="11"/>
  <c r="C56" i="11" l="1"/>
  <c r="C57" i="11" s="1"/>
  <c r="B57" i="11" s="1"/>
  <c r="AF220" i="5"/>
  <c r="AD220" i="5"/>
  <c r="AJ220" i="5"/>
  <c r="AH220" i="5" s="1"/>
  <c r="AC221" i="5"/>
  <c r="AD221" i="5" s="1"/>
  <c r="S222" i="5"/>
  <c r="Y222" i="5" s="1"/>
  <c r="V222" i="5"/>
  <c r="AB222" i="5" s="1"/>
  <c r="U222" i="5"/>
  <c r="AA222" i="5" s="1"/>
  <c r="A222" i="5"/>
  <c r="K222" i="5"/>
  <c r="O222" i="5" s="1"/>
  <c r="R222" i="5"/>
  <c r="X222" i="5" s="1"/>
  <c r="Q222" i="5"/>
  <c r="W222" i="5" s="1"/>
  <c r="J222" i="5"/>
  <c r="N222" i="5" s="1"/>
  <c r="T222" i="5"/>
  <c r="Z222" i="5" s="1"/>
  <c r="C62" i="1"/>
  <c r="D26" i="11"/>
  <c r="C58" i="11" l="1"/>
  <c r="C59" i="11" s="1"/>
  <c r="B59" i="11" s="1"/>
  <c r="AJ221" i="5"/>
  <c r="AH221" i="5" s="1"/>
  <c r="AF221" i="5"/>
  <c r="AC222" i="5"/>
  <c r="AJ222" i="5" s="1"/>
  <c r="J223" i="5"/>
  <c r="N223" i="5" s="1"/>
  <c r="R223" i="5"/>
  <c r="X223" i="5" s="1"/>
  <c r="U223" i="5"/>
  <c r="AA223" i="5" s="1"/>
  <c r="S223" i="5"/>
  <c r="Y223" i="5" s="1"/>
  <c r="Q223" i="5"/>
  <c r="W223" i="5" s="1"/>
  <c r="A223" i="5"/>
  <c r="V223" i="5"/>
  <c r="AB223" i="5" s="1"/>
  <c r="T223" i="5"/>
  <c r="Z223" i="5" s="1"/>
  <c r="K223" i="5"/>
  <c r="O223" i="5" s="1"/>
  <c r="C66" i="1"/>
  <c r="D27" i="11"/>
  <c r="C60" i="11" l="1"/>
  <c r="C61" i="11" s="1"/>
  <c r="B61" i="11" s="1"/>
  <c r="AH222" i="5"/>
  <c r="AF222" i="5"/>
  <c r="AD222" i="5"/>
  <c r="AC223" i="5"/>
  <c r="AJ223" i="5" s="1"/>
  <c r="J224" i="5"/>
  <c r="N224" i="5" s="1"/>
  <c r="A224" i="5"/>
  <c r="Q224" i="5"/>
  <c r="W224" i="5" s="1"/>
  <c r="R224" i="5"/>
  <c r="X224" i="5" s="1"/>
  <c r="V224" i="5"/>
  <c r="AB224" i="5" s="1"/>
  <c r="K224" i="5"/>
  <c r="O224" i="5" s="1"/>
  <c r="T224" i="5"/>
  <c r="Z224" i="5" s="1"/>
  <c r="U224" i="5"/>
  <c r="AA224" i="5" s="1"/>
  <c r="S224" i="5"/>
  <c r="Y224" i="5" s="1"/>
  <c r="C70" i="1"/>
  <c r="D28" i="11"/>
  <c r="C62" i="11" l="1"/>
  <c r="C63" i="11" s="1"/>
  <c r="B63" i="11" s="1"/>
  <c r="AH223" i="5"/>
  <c r="AD223" i="5"/>
  <c r="AF223" i="5"/>
  <c r="AC224" i="5"/>
  <c r="J225" i="5"/>
  <c r="N225" i="5" s="1"/>
  <c r="R225" i="5"/>
  <c r="X225" i="5" s="1"/>
  <c r="S225" i="5"/>
  <c r="Y225" i="5" s="1"/>
  <c r="Q225" i="5"/>
  <c r="W225" i="5" s="1"/>
  <c r="U225" i="5"/>
  <c r="AA225" i="5" s="1"/>
  <c r="K225" i="5"/>
  <c r="O225" i="5" s="1"/>
  <c r="V225" i="5"/>
  <c r="AB225" i="5" s="1"/>
  <c r="A225" i="5"/>
  <c r="T225" i="5"/>
  <c r="Z225" i="5" s="1"/>
  <c r="C74" i="1"/>
  <c r="D29" i="11"/>
  <c r="C64" i="11" l="1"/>
  <c r="C65" i="11" s="1"/>
  <c r="B65" i="11" s="1"/>
  <c r="AF224" i="5"/>
  <c r="AD224" i="5"/>
  <c r="AJ224" i="5"/>
  <c r="AH224" i="5" s="1"/>
  <c r="AC225" i="5"/>
  <c r="A226" i="5"/>
  <c r="K226" i="5"/>
  <c r="O226" i="5" s="1"/>
  <c r="J226" i="5"/>
  <c r="N226" i="5" s="1"/>
  <c r="R226" i="5"/>
  <c r="X226" i="5" s="1"/>
  <c r="U226" i="5"/>
  <c r="AA226" i="5" s="1"/>
  <c r="T226" i="5"/>
  <c r="Z226" i="5" s="1"/>
  <c r="S226" i="5"/>
  <c r="Y226" i="5" s="1"/>
  <c r="V226" i="5"/>
  <c r="AB226" i="5" s="1"/>
  <c r="Q226" i="5"/>
  <c r="W226" i="5" s="1"/>
  <c r="C78" i="1"/>
  <c r="D30" i="11"/>
  <c r="C66" i="11" l="1"/>
  <c r="C67" i="11" s="1"/>
  <c r="B67" i="11" s="1"/>
  <c r="AF225" i="5"/>
  <c r="AD225" i="5"/>
  <c r="AJ225" i="5"/>
  <c r="AH225" i="5" s="1"/>
  <c r="AC226" i="5"/>
  <c r="K227" i="5"/>
  <c r="O227" i="5" s="1"/>
  <c r="R227" i="5"/>
  <c r="X227" i="5" s="1"/>
  <c r="Q227" i="5"/>
  <c r="W227" i="5" s="1"/>
  <c r="A227" i="5"/>
  <c r="J227" i="5"/>
  <c r="N227" i="5" s="1"/>
  <c r="S227" i="5"/>
  <c r="Y227" i="5" s="1"/>
  <c r="V227" i="5"/>
  <c r="AB227" i="5" s="1"/>
  <c r="U227" i="5"/>
  <c r="AA227" i="5" s="1"/>
  <c r="T227" i="5"/>
  <c r="Z227" i="5" s="1"/>
  <c r="C83" i="1"/>
  <c r="D31" i="11"/>
  <c r="C68" i="11" l="1"/>
  <c r="C69" i="11" s="1"/>
  <c r="B69" i="11" s="1"/>
  <c r="AF226" i="5"/>
  <c r="AD226" i="5"/>
  <c r="AJ226" i="5"/>
  <c r="AH226" i="5" s="1"/>
  <c r="AC227" i="5"/>
  <c r="A228" i="5"/>
  <c r="V228" i="5"/>
  <c r="AB228" i="5" s="1"/>
  <c r="T228" i="5"/>
  <c r="Z228" i="5" s="1"/>
  <c r="Q228" i="5"/>
  <c r="W228" i="5" s="1"/>
  <c r="J228" i="5"/>
  <c r="N228" i="5" s="1"/>
  <c r="R228" i="5"/>
  <c r="X228" i="5" s="1"/>
  <c r="S228" i="5"/>
  <c r="Y228" i="5" s="1"/>
  <c r="K228" i="5"/>
  <c r="O228" i="5" s="1"/>
  <c r="U228" i="5"/>
  <c r="AA228" i="5" s="1"/>
  <c r="C88" i="1"/>
  <c r="D32" i="11"/>
  <c r="C70" i="11" l="1"/>
  <c r="C71" i="11" s="1"/>
  <c r="B71" i="11" s="1"/>
  <c r="AF227" i="5"/>
  <c r="AD227" i="5"/>
  <c r="AJ227" i="5"/>
  <c r="AH227" i="5" s="1"/>
  <c r="AC228" i="5"/>
  <c r="J229" i="5"/>
  <c r="N229" i="5" s="1"/>
  <c r="S229" i="5"/>
  <c r="Y229" i="5" s="1"/>
  <c r="V229" i="5"/>
  <c r="AB229" i="5" s="1"/>
  <c r="U229" i="5"/>
  <c r="AA229" i="5" s="1"/>
  <c r="T229" i="5"/>
  <c r="Z229" i="5" s="1"/>
  <c r="K229" i="5"/>
  <c r="O229" i="5" s="1"/>
  <c r="R229" i="5"/>
  <c r="X229" i="5" s="1"/>
  <c r="Q229" i="5"/>
  <c r="W229" i="5" s="1"/>
  <c r="A229" i="5"/>
  <c r="C93" i="1"/>
  <c r="D33" i="11"/>
  <c r="D35" i="11" l="1"/>
  <c r="D34" i="11"/>
  <c r="C72" i="11"/>
  <c r="C73" i="11" s="1"/>
  <c r="B73" i="11" s="1"/>
  <c r="AF228" i="5"/>
  <c r="AJ228" i="5"/>
  <c r="AH228" i="5" s="1"/>
  <c r="AC229" i="5"/>
  <c r="AD228" i="5"/>
  <c r="R230" i="5"/>
  <c r="X230" i="5" s="1"/>
  <c r="K230" i="5"/>
  <c r="O230" i="5" s="1"/>
  <c r="A230" i="5"/>
  <c r="T230" i="5"/>
  <c r="Z230" i="5" s="1"/>
  <c r="U230" i="5"/>
  <c r="AA230" i="5" s="1"/>
  <c r="V230" i="5"/>
  <c r="AB230" i="5" s="1"/>
  <c r="S230" i="5"/>
  <c r="Y230" i="5" s="1"/>
  <c r="J230" i="5"/>
  <c r="N230" i="5" s="1"/>
  <c r="Q230" i="5"/>
  <c r="W230" i="5" s="1"/>
  <c r="C98" i="1"/>
  <c r="AF229" i="5" l="1"/>
  <c r="C74" i="11"/>
  <c r="C75" i="11" s="1"/>
  <c r="B75" i="11" s="1"/>
  <c r="AD229" i="5"/>
  <c r="AJ229" i="5"/>
  <c r="AH229" i="5" s="1"/>
  <c r="AC230" i="5"/>
  <c r="AD230" i="5" s="1"/>
  <c r="J231" i="5"/>
  <c r="N231" i="5" s="1"/>
  <c r="S231" i="5"/>
  <c r="Y231" i="5" s="1"/>
  <c r="V231" i="5"/>
  <c r="AB231" i="5" s="1"/>
  <c r="U231" i="5"/>
  <c r="AA231" i="5" s="1"/>
  <c r="T231" i="5"/>
  <c r="Z231" i="5" s="1"/>
  <c r="K231" i="5"/>
  <c r="O231" i="5" s="1"/>
  <c r="R231" i="5"/>
  <c r="X231" i="5" s="1"/>
  <c r="Q231" i="5"/>
  <c r="W231" i="5" s="1"/>
  <c r="A231" i="5"/>
  <c r="C103" i="1"/>
  <c r="D36" i="11"/>
  <c r="C76" i="11" l="1"/>
  <c r="C77" i="11" s="1"/>
  <c r="B77" i="11" s="1"/>
  <c r="AJ230" i="5"/>
  <c r="AH230" i="5" s="1"/>
  <c r="AF230" i="5"/>
  <c r="AC231" i="5"/>
  <c r="AD231" i="5" s="1"/>
  <c r="A232" i="5"/>
  <c r="V232" i="5"/>
  <c r="AB232" i="5" s="1"/>
  <c r="T232" i="5"/>
  <c r="Z232" i="5" s="1"/>
  <c r="Q232" i="5"/>
  <c r="W232" i="5" s="1"/>
  <c r="J232" i="5"/>
  <c r="N232" i="5" s="1"/>
  <c r="R232" i="5"/>
  <c r="X232" i="5" s="1"/>
  <c r="S232" i="5"/>
  <c r="Y232" i="5" s="1"/>
  <c r="K232" i="5"/>
  <c r="O232" i="5" s="1"/>
  <c r="U232" i="5"/>
  <c r="AA232" i="5" s="1"/>
  <c r="C109" i="1"/>
  <c r="D38" i="11" s="1"/>
  <c r="D37" i="11"/>
  <c r="C78" i="11" l="1"/>
  <c r="C79" i="11" s="1"/>
  <c r="B79" i="11" s="1"/>
  <c r="AJ231" i="5"/>
  <c r="AH231" i="5" s="1"/>
  <c r="AF231" i="5"/>
  <c r="AC232" i="5"/>
  <c r="AD232" i="5" s="1"/>
  <c r="K233" i="5"/>
  <c r="O233" i="5" s="1"/>
  <c r="R233" i="5"/>
  <c r="X233" i="5" s="1"/>
  <c r="Q233" i="5"/>
  <c r="W233" i="5" s="1"/>
  <c r="A233" i="5"/>
  <c r="J233" i="5"/>
  <c r="N233" i="5" s="1"/>
  <c r="S233" i="5"/>
  <c r="Y233" i="5" s="1"/>
  <c r="V233" i="5"/>
  <c r="AB233" i="5" s="1"/>
  <c r="U233" i="5"/>
  <c r="AA233" i="5" s="1"/>
  <c r="T233" i="5"/>
  <c r="Z233" i="5" s="1"/>
  <c r="D39" i="11"/>
  <c r="C116" i="1"/>
  <c r="C80" i="11" l="1"/>
  <c r="C81" i="11" s="1"/>
  <c r="B81" i="11" s="1"/>
  <c r="AF232" i="5"/>
  <c r="AJ232" i="5"/>
  <c r="AH232" i="5" s="1"/>
  <c r="AC233" i="5"/>
  <c r="S234" i="5"/>
  <c r="Y234" i="5" s="1"/>
  <c r="V234" i="5"/>
  <c r="AB234" i="5" s="1"/>
  <c r="Q234" i="5"/>
  <c r="W234" i="5" s="1"/>
  <c r="A234" i="5"/>
  <c r="K234" i="5"/>
  <c r="O234" i="5" s="1"/>
  <c r="R234" i="5"/>
  <c r="X234" i="5" s="1"/>
  <c r="J234" i="5"/>
  <c r="N234" i="5" s="1"/>
  <c r="U234" i="5"/>
  <c r="AA234" i="5" s="1"/>
  <c r="T234" i="5"/>
  <c r="Z234" i="5" s="1"/>
  <c r="C120" i="1"/>
  <c r="D40" i="11"/>
  <c r="D41" i="11"/>
  <c r="AF233" i="5" l="1"/>
  <c r="C82" i="11"/>
  <c r="C83" i="11" s="1"/>
  <c r="B83" i="11" s="1"/>
  <c r="AJ233" i="5"/>
  <c r="AH233" i="5" s="1"/>
  <c r="AD233" i="5"/>
  <c r="AC234" i="5"/>
  <c r="A235" i="5"/>
  <c r="V235" i="5"/>
  <c r="AB235" i="5" s="1"/>
  <c r="T235" i="5"/>
  <c r="Z235" i="5" s="1"/>
  <c r="K235" i="5"/>
  <c r="O235" i="5" s="1"/>
  <c r="J235" i="5"/>
  <c r="N235" i="5" s="1"/>
  <c r="R235" i="5"/>
  <c r="X235" i="5" s="1"/>
  <c r="U235" i="5"/>
  <c r="AA235" i="5" s="1"/>
  <c r="S235" i="5"/>
  <c r="Y235" i="5" s="1"/>
  <c r="Q235" i="5"/>
  <c r="W235" i="5" s="1"/>
  <c r="C127" i="1"/>
  <c r="D42" i="11"/>
  <c r="AF234" i="5" l="1"/>
  <c r="C84" i="11"/>
  <c r="C85" i="11" s="1"/>
  <c r="B85" i="11" s="1"/>
  <c r="AD234" i="5"/>
  <c r="AJ234" i="5"/>
  <c r="AH234" i="5" s="1"/>
  <c r="AC235" i="5"/>
  <c r="AJ235" i="5" s="1"/>
  <c r="J236" i="5"/>
  <c r="N236" i="5" s="1"/>
  <c r="S236" i="5"/>
  <c r="Y236" i="5" s="1"/>
  <c r="T236" i="5"/>
  <c r="Z236" i="5" s="1"/>
  <c r="R236" i="5"/>
  <c r="X236" i="5" s="1"/>
  <c r="V236" i="5"/>
  <c r="AB236" i="5" s="1"/>
  <c r="K236" i="5"/>
  <c r="O236" i="5" s="1"/>
  <c r="A236" i="5"/>
  <c r="Q236" i="5"/>
  <c r="W236" i="5" s="1"/>
  <c r="U236" i="5"/>
  <c r="AA236" i="5" s="1"/>
  <c r="D43" i="11"/>
  <c r="C128" i="1"/>
  <c r="D44" i="11"/>
  <c r="C86" i="11" l="1"/>
  <c r="C87" i="11" s="1"/>
  <c r="B87" i="11" s="1"/>
  <c r="AD235" i="5"/>
  <c r="AH235" i="5"/>
  <c r="AF235" i="5"/>
  <c r="AC236" i="5"/>
  <c r="AJ236" i="5" s="1"/>
  <c r="J237" i="5"/>
  <c r="N237" i="5" s="1"/>
  <c r="R237" i="5"/>
  <c r="X237" i="5" s="1"/>
  <c r="S237" i="5"/>
  <c r="Y237" i="5" s="1"/>
  <c r="Q237" i="5"/>
  <c r="W237" i="5" s="1"/>
  <c r="U237" i="5"/>
  <c r="AA237" i="5" s="1"/>
  <c r="K237" i="5"/>
  <c r="O237" i="5" s="1"/>
  <c r="V237" i="5"/>
  <c r="AB237" i="5" s="1"/>
  <c r="A237" i="5"/>
  <c r="T237" i="5"/>
  <c r="Z237" i="5" s="1"/>
  <c r="D45" i="11"/>
  <c r="C131" i="1"/>
  <c r="D46" i="11"/>
  <c r="AH236" i="5" l="1"/>
  <c r="C88" i="11"/>
  <c r="C89" i="11" s="1"/>
  <c r="B89" i="11" s="1"/>
  <c r="AD236" i="5"/>
  <c r="AF236" i="5"/>
  <c r="AC237" i="5"/>
  <c r="AD237" i="5" s="1"/>
  <c r="V238" i="5"/>
  <c r="AB238" i="5" s="1"/>
  <c r="T238" i="5"/>
  <c r="Z238" i="5" s="1"/>
  <c r="R238" i="5"/>
  <c r="X238" i="5" s="1"/>
  <c r="A238" i="5"/>
  <c r="K238" i="5"/>
  <c r="O238" i="5" s="1"/>
  <c r="U238" i="5"/>
  <c r="AA238" i="5" s="1"/>
  <c r="S238" i="5"/>
  <c r="Y238" i="5" s="1"/>
  <c r="Q238" i="5"/>
  <c r="W238" i="5" s="1"/>
  <c r="J238" i="5"/>
  <c r="N238" i="5" s="1"/>
  <c r="C132" i="1"/>
  <c r="D47" i="11"/>
  <c r="C90" i="11" l="1"/>
  <c r="C91" i="11" s="1"/>
  <c r="B91" i="11" s="1"/>
  <c r="AJ237" i="5"/>
  <c r="AH237" i="5" s="1"/>
  <c r="AF237" i="5"/>
  <c r="AC238" i="5"/>
  <c r="J239" i="5"/>
  <c r="N239" i="5" s="1"/>
  <c r="S239" i="5"/>
  <c r="Y239" i="5" s="1"/>
  <c r="V239" i="5"/>
  <c r="AB239" i="5" s="1"/>
  <c r="Q239" i="5"/>
  <c r="W239" i="5" s="1"/>
  <c r="T239" i="5"/>
  <c r="Z239" i="5" s="1"/>
  <c r="K239" i="5"/>
  <c r="O239" i="5" s="1"/>
  <c r="R239" i="5"/>
  <c r="X239" i="5" s="1"/>
  <c r="A239" i="5"/>
  <c r="U239" i="5"/>
  <c r="AA239" i="5" s="1"/>
  <c r="D48" i="11"/>
  <c r="C133" i="1"/>
  <c r="C92" i="11" l="1"/>
  <c r="C93" i="11" s="1"/>
  <c r="B93" i="11" s="1"/>
  <c r="AF238" i="5"/>
  <c r="AJ238" i="5"/>
  <c r="AH238" i="5" s="1"/>
  <c r="AD238" i="5"/>
  <c r="AC239" i="5"/>
  <c r="J240" i="5"/>
  <c r="N240" i="5" s="1"/>
  <c r="R240" i="5"/>
  <c r="X240" i="5" s="1"/>
  <c r="S240" i="5"/>
  <c r="Y240" i="5" s="1"/>
  <c r="T240" i="5"/>
  <c r="Z240" i="5" s="1"/>
  <c r="U240" i="5"/>
  <c r="AA240" i="5" s="1"/>
  <c r="A240" i="5"/>
  <c r="V240" i="5"/>
  <c r="AB240" i="5" s="1"/>
  <c r="K240" i="5"/>
  <c r="O240" i="5" s="1"/>
  <c r="Q240" i="5"/>
  <c r="W240" i="5" s="1"/>
  <c r="D49" i="11"/>
  <c r="C136" i="1"/>
  <c r="C94" i="11" l="1"/>
  <c r="C95" i="11" s="1"/>
  <c r="B95" i="11" s="1"/>
  <c r="AF239" i="5"/>
  <c r="AD239" i="5"/>
  <c r="AJ239" i="5"/>
  <c r="AH239" i="5" s="1"/>
  <c r="AC240" i="5"/>
  <c r="J241" i="5"/>
  <c r="N241" i="5" s="1"/>
  <c r="R241" i="5"/>
  <c r="X241" i="5" s="1"/>
  <c r="S241" i="5"/>
  <c r="Y241" i="5" s="1"/>
  <c r="T241" i="5"/>
  <c r="Z241" i="5" s="1"/>
  <c r="U241" i="5"/>
  <c r="AA241" i="5" s="1"/>
  <c r="A241" i="5"/>
  <c r="V241" i="5"/>
  <c r="AB241" i="5" s="1"/>
  <c r="K241" i="5"/>
  <c r="O241" i="5" s="1"/>
  <c r="Q241" i="5"/>
  <c r="W241" i="5" s="1"/>
  <c r="D50" i="11"/>
  <c r="C138" i="1"/>
  <c r="C96" i="11" l="1"/>
  <c r="C97" i="11" s="1"/>
  <c r="B97" i="11" s="1"/>
  <c r="AF240" i="5"/>
  <c r="AD240" i="5"/>
  <c r="AJ240" i="5"/>
  <c r="AH240" i="5" s="1"/>
  <c r="AC241" i="5"/>
  <c r="A242" i="5"/>
  <c r="V242" i="5"/>
  <c r="AB242" i="5" s="1"/>
  <c r="K242" i="5"/>
  <c r="O242" i="5" s="1"/>
  <c r="Q242" i="5"/>
  <c r="W242" i="5" s="1"/>
  <c r="J242" i="5"/>
  <c r="N242" i="5" s="1"/>
  <c r="R242" i="5"/>
  <c r="X242" i="5" s="1"/>
  <c r="S242" i="5"/>
  <c r="Y242" i="5" s="1"/>
  <c r="T242" i="5"/>
  <c r="Z242" i="5" s="1"/>
  <c r="U242" i="5"/>
  <c r="AA242" i="5" s="1"/>
  <c r="D51" i="11"/>
  <c r="C143" i="1"/>
  <c r="C98" i="11" l="1"/>
  <c r="C99" i="11" s="1"/>
  <c r="B99" i="11" s="1"/>
  <c r="AF241" i="5"/>
  <c r="AJ241" i="5"/>
  <c r="AH241" i="5" s="1"/>
  <c r="AD241" i="5"/>
  <c r="AC242" i="5"/>
  <c r="R243" i="5"/>
  <c r="X243" i="5" s="1"/>
  <c r="K243" i="5"/>
  <c r="O243" i="5" s="1"/>
  <c r="T243" i="5"/>
  <c r="Z243" i="5" s="1"/>
  <c r="Q243" i="5"/>
  <c r="W243" i="5" s="1"/>
  <c r="J243" i="5"/>
  <c r="N243" i="5" s="1"/>
  <c r="V243" i="5"/>
  <c r="AB243" i="5" s="1"/>
  <c r="S243" i="5"/>
  <c r="Y243" i="5" s="1"/>
  <c r="A243" i="5"/>
  <c r="U243" i="5"/>
  <c r="AA243" i="5" s="1"/>
  <c r="C148" i="1"/>
  <c r="D52" i="11"/>
  <c r="C100" i="11" l="1"/>
  <c r="C101" i="11" s="1"/>
  <c r="B101" i="11" s="1"/>
  <c r="AF242" i="5"/>
  <c r="AD242" i="5"/>
  <c r="AJ242" i="5"/>
  <c r="AH242" i="5" s="1"/>
  <c r="AC243" i="5"/>
  <c r="A244" i="5"/>
  <c r="S244" i="5"/>
  <c r="Y244" i="5" s="1"/>
  <c r="V244" i="5"/>
  <c r="AB244" i="5" s="1"/>
  <c r="U244" i="5"/>
  <c r="AA244" i="5" s="1"/>
  <c r="J244" i="5"/>
  <c r="E173" i="5" s="1"/>
  <c r="Q244" i="5"/>
  <c r="W244" i="5" s="1"/>
  <c r="R244" i="5"/>
  <c r="X244" i="5" s="1"/>
  <c r="K244" i="5"/>
  <c r="T244" i="5"/>
  <c r="Z244" i="5" s="1"/>
  <c r="C152" i="1"/>
  <c r="D53" i="11"/>
  <c r="C102" i="11" l="1"/>
  <c r="C103" i="11" s="1"/>
  <c r="B103" i="11" s="1"/>
  <c r="AF243" i="5"/>
  <c r="AD243" i="5"/>
  <c r="AJ243" i="5"/>
  <c r="AH243" i="5" s="1"/>
  <c r="AC244" i="5"/>
  <c r="AD244" i="5" s="1"/>
  <c r="O244" i="5"/>
  <c r="K171" i="5" s="1"/>
  <c r="K172" i="5" s="1"/>
  <c r="K173" i="5"/>
  <c r="N244" i="5"/>
  <c r="E171" i="5" s="1"/>
  <c r="E172" i="5" s="1"/>
  <c r="E168" i="5" s="1"/>
  <c r="J252" i="5" s="1"/>
  <c r="C161" i="1"/>
  <c r="D54" i="11"/>
  <c r="AH169" i="5" l="1"/>
  <c r="AH170" i="5" s="1"/>
  <c r="C104" i="11"/>
  <c r="C105" i="11" s="1"/>
  <c r="B105" i="11" s="1"/>
  <c r="AF244" i="5"/>
  <c r="K168" i="5"/>
  <c r="J253" i="5" s="1"/>
  <c r="AJ244" i="5"/>
  <c r="AI192" i="5" s="1"/>
  <c r="C162" i="1"/>
  <c r="D56" i="11"/>
  <c r="D55" i="11"/>
  <c r="C106" i="11" l="1"/>
  <c r="C107" i="11" s="1"/>
  <c r="B107" i="11" s="1"/>
  <c r="AI241" i="5"/>
  <c r="AI229" i="5"/>
  <c r="AI188" i="5"/>
  <c r="AI239" i="5"/>
  <c r="AI240" i="5"/>
  <c r="AI242" i="5"/>
  <c r="AI202" i="5"/>
  <c r="AI236" i="5"/>
  <c r="AI221" i="5"/>
  <c r="AI217" i="5"/>
  <c r="AI203" i="5"/>
  <c r="AI198" i="5"/>
  <c r="AI196" i="5"/>
  <c r="AI226" i="5"/>
  <c r="AI209" i="5"/>
  <c r="AI244" i="5"/>
  <c r="AI208" i="5"/>
  <c r="AI232" i="5"/>
  <c r="AI200" i="5"/>
  <c r="AI220" i="5"/>
  <c r="AI189" i="5"/>
  <c r="AI214" i="5"/>
  <c r="AI234" i="5"/>
  <c r="AI230" i="5"/>
  <c r="AI216" i="5"/>
  <c r="AI212" i="5"/>
  <c r="AI219" i="5"/>
  <c r="AI235" i="5"/>
  <c r="AI223" i="5"/>
  <c r="AI190" i="5"/>
  <c r="AH244" i="5"/>
  <c r="AI233" i="5"/>
  <c r="AI213" i="5"/>
  <c r="AI199" i="5"/>
  <c r="AI238" i="5"/>
  <c r="AI225" i="5"/>
  <c r="AI210" i="5"/>
  <c r="AI193" i="5"/>
  <c r="AI227" i="5"/>
  <c r="AI215" i="5"/>
  <c r="AI197" i="5"/>
  <c r="AI237" i="5"/>
  <c r="AI224" i="5"/>
  <c r="AI205" i="5"/>
  <c r="AI191" i="5"/>
  <c r="AI218" i="5"/>
  <c r="AI186" i="5"/>
  <c r="AI211" i="5"/>
  <c r="AI231" i="5"/>
  <c r="AI201" i="5"/>
  <c r="AI228" i="5"/>
  <c r="AI195" i="5"/>
  <c r="AI194" i="5"/>
  <c r="AI243" i="5"/>
  <c r="AI207" i="5"/>
  <c r="AI204" i="5"/>
  <c r="AI206" i="5"/>
  <c r="AI222" i="5"/>
  <c r="AI185" i="5"/>
  <c r="AI187" i="5"/>
  <c r="D57" i="11"/>
  <c r="C163" i="1"/>
  <c r="D58" i="11"/>
  <c r="C108" i="11" l="1"/>
  <c r="C109" i="11" s="1"/>
  <c r="B109" i="11" s="1"/>
  <c r="AK185" i="5"/>
  <c r="AK186" i="5" s="1"/>
  <c r="D59" i="11"/>
  <c r="C164" i="1"/>
  <c r="D60" i="11"/>
  <c r="C110" i="11" l="1"/>
  <c r="C111" i="11" s="1"/>
  <c r="B111" i="11" s="1"/>
  <c r="L185" i="5"/>
  <c r="AK187" i="5"/>
  <c r="AK188" i="5" s="1"/>
  <c r="AK189" i="5" s="1"/>
  <c r="AK190" i="5" s="1"/>
  <c r="AK191" i="5" s="1"/>
  <c r="AK192" i="5" s="1"/>
  <c r="AK193" i="5" s="1"/>
  <c r="AK194" i="5" s="1"/>
  <c r="AK195" i="5" s="1"/>
  <c r="AK196" i="5" s="1"/>
  <c r="AK197" i="5" s="1"/>
  <c r="AK198" i="5" s="1"/>
  <c r="AK199" i="5" s="1"/>
  <c r="AK200" i="5" s="1"/>
  <c r="AK201" i="5" s="1"/>
  <c r="AK202" i="5" s="1"/>
  <c r="AK203" i="5" s="1"/>
  <c r="AK204" i="5" s="1"/>
  <c r="AK205" i="5" s="1"/>
  <c r="AK206" i="5" s="1"/>
  <c r="AK207" i="5" s="1"/>
  <c r="AK208" i="5" s="1"/>
  <c r="AK209" i="5" s="1"/>
  <c r="AK210" i="5" s="1"/>
  <c r="AK211" i="5" s="1"/>
  <c r="AK212" i="5" s="1"/>
  <c r="AK213" i="5" s="1"/>
  <c r="AK214" i="5" s="1"/>
  <c r="AK215" i="5" s="1"/>
  <c r="AK216" i="5" s="1"/>
  <c r="AK217" i="5" s="1"/>
  <c r="AK218" i="5" s="1"/>
  <c r="AK219" i="5" s="1"/>
  <c r="AK220" i="5" s="1"/>
  <c r="AK221" i="5" s="1"/>
  <c r="AK222" i="5" s="1"/>
  <c r="AK223" i="5" s="1"/>
  <c r="AK224" i="5" s="1"/>
  <c r="AK225" i="5" s="1"/>
  <c r="AK226" i="5" s="1"/>
  <c r="AK227" i="5" s="1"/>
  <c r="AK228" i="5" s="1"/>
  <c r="AK229" i="5" s="1"/>
  <c r="AK230" i="5" s="1"/>
  <c r="AK231" i="5" s="1"/>
  <c r="AK232" i="5" s="1"/>
  <c r="AK233" i="5" s="1"/>
  <c r="AK234" i="5" s="1"/>
  <c r="AK235" i="5" s="1"/>
  <c r="AK236" i="5" s="1"/>
  <c r="AK237" i="5" s="1"/>
  <c r="AK238" i="5" s="1"/>
  <c r="AK239" i="5" s="1"/>
  <c r="AK240" i="5" s="1"/>
  <c r="AK241" i="5" s="1"/>
  <c r="AK242" i="5" s="1"/>
  <c r="AK243" i="5" s="1"/>
  <c r="AK244" i="5" s="1"/>
  <c r="L186" i="5"/>
  <c r="AM185" i="5"/>
  <c r="AM186" i="5" s="1"/>
  <c r="D61" i="11"/>
  <c r="C165" i="1"/>
  <c r="D62" i="11"/>
  <c r="C112" i="11" l="1"/>
  <c r="C113" i="11" s="1"/>
  <c r="B113" i="11" s="1"/>
  <c r="L187" i="5"/>
  <c r="L188" i="5"/>
  <c r="AM187" i="5"/>
  <c r="D63" i="11"/>
  <c r="C167" i="1"/>
  <c r="D64" i="11"/>
  <c r="C114" i="11" l="1"/>
  <c r="C115" i="11" s="1"/>
  <c r="B115" i="11" s="1"/>
  <c r="L190" i="5"/>
  <c r="AM188" i="5"/>
  <c r="C168" i="1"/>
  <c r="D66" i="11"/>
  <c r="D65" i="11"/>
  <c r="C116" i="11" l="1"/>
  <c r="C117" i="11" s="1"/>
  <c r="B117" i="11" s="1"/>
  <c r="B49" i="19"/>
  <c r="L189" i="5"/>
  <c r="AM189" i="5"/>
  <c r="AM190" i="5" s="1"/>
  <c r="C169" i="1"/>
  <c r="D68" i="11"/>
  <c r="D67" i="11"/>
  <c r="C118" i="11" l="1"/>
  <c r="C119" i="11" s="1"/>
  <c r="B119" i="11" s="1"/>
  <c r="AM191" i="5"/>
  <c r="AM192" i="5" s="1"/>
  <c r="L191" i="5"/>
  <c r="L192" i="5"/>
  <c r="C170" i="1"/>
  <c r="D70" i="11"/>
  <c r="D69" i="11"/>
  <c r="C120" i="11" l="1"/>
  <c r="C121" i="11" s="1"/>
  <c r="B121" i="11" s="1"/>
  <c r="AM193" i="5"/>
  <c r="L193" i="5"/>
  <c r="C171" i="1"/>
  <c r="D72" i="11"/>
  <c r="D71" i="11"/>
  <c r="C122" i="11" l="1"/>
  <c r="C123" i="11" s="1"/>
  <c r="B123" i="11" s="1"/>
  <c r="L194" i="5"/>
  <c r="AM194" i="5"/>
  <c r="C175" i="1"/>
  <c r="D74" i="11"/>
  <c r="D73" i="11"/>
  <c r="C124" i="11" l="1"/>
  <c r="C125" i="11" s="1"/>
  <c r="B125" i="11" s="1"/>
  <c r="AM195" i="5"/>
  <c r="L195" i="5"/>
  <c r="C176" i="1"/>
  <c r="D76" i="11"/>
  <c r="D75" i="11"/>
  <c r="C126" i="11" l="1"/>
  <c r="C127" i="11" s="1"/>
  <c r="B127" i="11" s="1"/>
  <c r="L196" i="5"/>
  <c r="AM196" i="5"/>
  <c r="C177" i="1"/>
  <c r="D78" i="11"/>
  <c r="D77" i="11"/>
  <c r="C128" i="11" l="1"/>
  <c r="C129" i="11" s="1"/>
  <c r="B129" i="11" s="1"/>
  <c r="L197" i="5"/>
  <c r="AM197" i="5"/>
  <c r="D79" i="11"/>
  <c r="C178" i="1"/>
  <c r="D80" i="11"/>
  <c r="C130" i="11" l="1"/>
  <c r="C131" i="11" s="1"/>
  <c r="B131" i="11" s="1"/>
  <c r="AM198" i="5"/>
  <c r="L198" i="5"/>
  <c r="C179" i="1"/>
  <c r="D82" i="11"/>
  <c r="D81" i="11"/>
  <c r="C132" i="11" l="1"/>
  <c r="C133" i="11" s="1"/>
  <c r="B133" i="11" s="1"/>
  <c r="L199" i="5"/>
  <c r="AM199" i="5"/>
  <c r="C181" i="1"/>
  <c r="D84" i="11"/>
  <c r="D83" i="11"/>
  <c r="C134" i="11" l="1"/>
  <c r="C135" i="11" s="1"/>
  <c r="B135" i="11" s="1"/>
  <c r="AM200" i="5"/>
  <c r="L200" i="5"/>
  <c r="C182" i="1"/>
  <c r="D86" i="11"/>
  <c r="D85" i="11"/>
  <c r="C136" i="11" l="1"/>
  <c r="C137" i="11" s="1"/>
  <c r="B137" i="11" s="1"/>
  <c r="L201" i="5"/>
  <c r="AM201" i="5"/>
  <c r="D87" i="11"/>
  <c r="D88" i="11"/>
  <c r="C183" i="1"/>
  <c r="C138" i="11" l="1"/>
  <c r="C139" i="11" s="1"/>
  <c r="B139" i="11" s="1"/>
  <c r="AM202" i="5"/>
  <c r="L202" i="5"/>
  <c r="D89" i="11"/>
  <c r="D90" i="11"/>
  <c r="C184" i="1"/>
  <c r="C140" i="11" l="1"/>
  <c r="C141" i="11" s="1"/>
  <c r="B141" i="11" s="1"/>
  <c r="L203" i="5"/>
  <c r="AM203" i="5"/>
  <c r="D91" i="11"/>
  <c r="C185" i="1"/>
  <c r="D92" i="11"/>
  <c r="C142" i="11" l="1"/>
  <c r="C143" i="11" s="1"/>
  <c r="B143" i="11" s="1"/>
  <c r="L204" i="5"/>
  <c r="AM204" i="5"/>
  <c r="C189" i="1"/>
  <c r="D94" i="11"/>
  <c r="D93" i="11"/>
  <c r="C144" i="11" l="1"/>
  <c r="C145" i="11" s="1"/>
  <c r="B145" i="11" s="1"/>
  <c r="AM205" i="5"/>
  <c r="L205" i="5"/>
  <c r="C190" i="1"/>
  <c r="D96" i="11"/>
  <c r="D95" i="11"/>
  <c r="C146" i="11" l="1"/>
  <c r="C147" i="11" s="1"/>
  <c r="B147" i="11" s="1"/>
  <c r="L206" i="5"/>
  <c r="AM206" i="5"/>
  <c r="C191" i="1"/>
  <c r="D98" i="11"/>
  <c r="D97" i="11"/>
  <c r="C148" i="11" l="1"/>
  <c r="C149" i="11" s="1"/>
  <c r="B149" i="11" s="1"/>
  <c r="AM207" i="5"/>
  <c r="L207" i="5"/>
  <c r="C192" i="1"/>
  <c r="D100" i="11"/>
  <c r="D99" i="11"/>
  <c r="C150" i="11" l="1"/>
  <c r="C151" i="11" s="1"/>
  <c r="B151" i="11" s="1"/>
  <c r="L208" i="5"/>
  <c r="AM208" i="5"/>
  <c r="D101" i="11"/>
  <c r="C193" i="1"/>
  <c r="D102" i="11"/>
  <c r="C152" i="11" l="1"/>
  <c r="C153" i="11" s="1"/>
  <c r="B153" i="11" s="1"/>
  <c r="AM209" i="5"/>
  <c r="L209" i="5"/>
  <c r="C195" i="1"/>
  <c r="D104" i="11"/>
  <c r="D103" i="11"/>
  <c r="C154" i="11" l="1"/>
  <c r="C155" i="11" s="1"/>
  <c r="B155" i="11" s="1"/>
  <c r="L210" i="5"/>
  <c r="AM210" i="5"/>
  <c r="C196" i="1"/>
  <c r="D106" i="11"/>
  <c r="D105" i="11"/>
  <c r="C156" i="11" l="1"/>
  <c r="C157" i="11" s="1"/>
  <c r="B157" i="11" s="1"/>
  <c r="AM211" i="5"/>
  <c r="L211" i="5"/>
  <c r="C197" i="1"/>
  <c r="D108" i="11"/>
  <c r="D107" i="11"/>
  <c r="C158" i="11" l="1"/>
  <c r="C159" i="11" s="1"/>
  <c r="B159" i="11" s="1"/>
  <c r="L212" i="5"/>
  <c r="AM212" i="5"/>
  <c r="C198" i="1"/>
  <c r="D110" i="11"/>
  <c r="D109" i="11"/>
  <c r="C160" i="11" l="1"/>
  <c r="C161" i="11" s="1"/>
  <c r="B161" i="11" s="1"/>
  <c r="AM213" i="5"/>
  <c r="L213" i="5"/>
  <c r="D111" i="11"/>
  <c r="C199" i="1"/>
  <c r="D112" i="11"/>
  <c r="C162" i="11" l="1"/>
  <c r="C163" i="11" s="1"/>
  <c r="B163" i="11" s="1"/>
  <c r="L214" i="5"/>
  <c r="AM214" i="5"/>
  <c r="D113" i="11"/>
  <c r="C203" i="1"/>
  <c r="D114" i="11"/>
  <c r="C164" i="11" l="1"/>
  <c r="C165" i="11" s="1"/>
  <c r="B165" i="11" s="1"/>
  <c r="AM215" i="5"/>
  <c r="L215" i="5"/>
  <c r="D115" i="11"/>
  <c r="C204" i="1"/>
  <c r="D116" i="11"/>
  <c r="C166" i="11" l="1"/>
  <c r="C167" i="11" s="1"/>
  <c r="B167" i="11" s="1"/>
  <c r="L216" i="5"/>
  <c r="AM216" i="5"/>
  <c r="D117" i="11"/>
  <c r="C205" i="1"/>
  <c r="D118" i="11"/>
  <c r="C168" i="11" l="1"/>
  <c r="C169" i="11" s="1"/>
  <c r="B169" i="11" s="1"/>
  <c r="AM217" i="5"/>
  <c r="L217" i="5"/>
  <c r="C206" i="1"/>
  <c r="D120" i="11"/>
  <c r="D119" i="11"/>
  <c r="C170" i="11" l="1"/>
  <c r="C171" i="11" s="1"/>
  <c r="B171" i="11" s="1"/>
  <c r="L218" i="5"/>
  <c r="AM218" i="5"/>
  <c r="C207" i="1"/>
  <c r="D122" i="11"/>
  <c r="D121" i="11"/>
  <c r="C172" i="11" l="1"/>
  <c r="C173" i="11" s="1"/>
  <c r="B173" i="11" s="1"/>
  <c r="AM219" i="5"/>
  <c r="L219" i="5"/>
  <c r="C209" i="1"/>
  <c r="D124" i="11"/>
  <c r="D123" i="11"/>
  <c r="C174" i="11" l="1"/>
  <c r="C175" i="11" s="1"/>
  <c r="B175" i="11" s="1"/>
  <c r="AM220" i="5"/>
  <c r="L220" i="5"/>
  <c r="C210" i="1"/>
  <c r="D126" i="11"/>
  <c r="D125" i="11"/>
  <c r="C176" i="11" l="1"/>
  <c r="C177" i="11" s="1"/>
  <c r="B177" i="11" s="1"/>
  <c r="L221" i="5"/>
  <c r="AM221" i="5"/>
  <c r="C211" i="1"/>
  <c r="D128" i="11"/>
  <c r="D127" i="11"/>
  <c r="C178" i="11" l="1"/>
  <c r="C179" i="11" s="1"/>
  <c r="B179" i="11" s="1"/>
  <c r="AM222" i="5"/>
  <c r="L222" i="5"/>
  <c r="D129" i="11"/>
  <c r="C212" i="1"/>
  <c r="D130" i="11"/>
  <c r="C180" i="11" l="1"/>
  <c r="C181" i="11" s="1"/>
  <c r="B181" i="11" s="1"/>
  <c r="L223" i="5"/>
  <c r="AM223" i="5"/>
  <c r="D131" i="11"/>
  <c r="C213" i="1"/>
  <c r="D132" i="11"/>
  <c r="C182" i="11" l="1"/>
  <c r="C183" i="11" s="1"/>
  <c r="B183" i="11" s="1"/>
  <c r="AM224" i="5"/>
  <c r="L224" i="5"/>
  <c r="D133" i="11"/>
  <c r="C217" i="1"/>
  <c r="D134" i="11"/>
  <c r="C184" i="11" l="1"/>
  <c r="C185" i="11" s="1"/>
  <c r="B185" i="11" s="1"/>
  <c r="L225" i="5"/>
  <c r="AM225" i="5"/>
  <c r="D135" i="11"/>
  <c r="C218" i="1"/>
  <c r="D136" i="11"/>
  <c r="C186" i="11" l="1"/>
  <c r="C187" i="11" s="1"/>
  <c r="L226" i="5"/>
  <c r="AM226" i="5"/>
  <c r="C219" i="1"/>
  <c r="D138" i="11"/>
  <c r="D137" i="11"/>
  <c r="C188" i="11" l="1"/>
  <c r="C189" i="11" s="1"/>
  <c r="C190" i="11" s="1"/>
  <c r="C191" i="11" s="1"/>
  <c r="C192" i="11" s="1"/>
  <c r="B187" i="11"/>
  <c r="AM227" i="5"/>
  <c r="L227" i="5"/>
  <c r="C220" i="1"/>
  <c r="D140" i="11"/>
  <c r="D139" i="11"/>
  <c r="C193" i="11" l="1"/>
  <c r="C194" i="11" s="1"/>
  <c r="B194" i="11" s="1"/>
  <c r="B192" i="11"/>
  <c r="L228" i="5"/>
  <c r="AM228" i="5"/>
  <c r="C221" i="1"/>
  <c r="D142" i="11"/>
  <c r="D141" i="11"/>
  <c r="C195" i="11" l="1"/>
  <c r="C196" i="11" s="1"/>
  <c r="B196" i="11" s="1"/>
  <c r="AM229" i="5"/>
  <c r="L229" i="5"/>
  <c r="C223" i="1"/>
  <c r="D144" i="11"/>
  <c r="D143" i="11"/>
  <c r="C197" i="11" l="1"/>
  <c r="C198" i="11" s="1"/>
  <c r="B198" i="11" s="1"/>
  <c r="L230" i="5"/>
  <c r="AM230" i="5"/>
  <c r="C224" i="1"/>
  <c r="D146" i="11"/>
  <c r="D145" i="11"/>
  <c r="C199" i="11" l="1"/>
  <c r="C200" i="11" s="1"/>
  <c r="B200" i="11" s="1"/>
  <c r="AM231" i="5"/>
  <c r="L231" i="5"/>
  <c r="C225" i="1"/>
  <c r="D148" i="11"/>
  <c r="D147" i="11"/>
  <c r="C201" i="11" l="1"/>
  <c r="C202" i="11" s="1"/>
  <c r="B202" i="11" s="1"/>
  <c r="L232" i="5"/>
  <c r="AM232" i="5"/>
  <c r="C226" i="1"/>
  <c r="D150" i="11"/>
  <c r="D149" i="11"/>
  <c r="C203" i="11" l="1"/>
  <c r="C204" i="11" s="1"/>
  <c r="B204" i="11" s="1"/>
  <c r="AM233" i="5"/>
  <c r="L233" i="5"/>
  <c r="C227" i="1"/>
  <c r="D152" i="11"/>
  <c r="D151" i="11"/>
  <c r="C205" i="11" l="1"/>
  <c r="C206" i="11" s="1"/>
  <c r="B206" i="11" s="1"/>
  <c r="L234" i="5"/>
  <c r="AM234" i="5"/>
  <c r="C231" i="1"/>
  <c r="D154" i="11"/>
  <c r="D153" i="11"/>
  <c r="C207" i="11" l="1"/>
  <c r="C208" i="11" s="1"/>
  <c r="B208" i="11" s="1"/>
  <c r="AM235" i="5"/>
  <c r="L235" i="5"/>
  <c r="C232" i="1"/>
  <c r="D156" i="11"/>
  <c r="D155" i="11"/>
  <c r="C209" i="11" l="1"/>
  <c r="C210" i="11" s="1"/>
  <c r="B210" i="11" s="1"/>
  <c r="L236" i="5"/>
  <c r="AM236" i="5"/>
  <c r="C233" i="1"/>
  <c r="D158" i="11"/>
  <c r="D157" i="11"/>
  <c r="C211" i="11" l="1"/>
  <c r="C212" i="11" s="1"/>
  <c r="B212" i="11" s="1"/>
  <c r="AM237" i="5"/>
  <c r="L237" i="5"/>
  <c r="C234" i="1"/>
  <c r="D160" i="11"/>
  <c r="D159" i="11"/>
  <c r="C213" i="11" l="1"/>
  <c r="C214" i="11" s="1"/>
  <c r="B214" i="11" s="1"/>
  <c r="AM238" i="5"/>
  <c r="L238" i="5"/>
  <c r="C235" i="1"/>
  <c r="D162" i="11"/>
  <c r="D161" i="11"/>
  <c r="C215" i="11" l="1"/>
  <c r="C216" i="11" s="1"/>
  <c r="B216" i="11" s="1"/>
  <c r="L239" i="5"/>
  <c r="AM239" i="5"/>
  <c r="C237" i="1"/>
  <c r="D164" i="11"/>
  <c r="D163" i="11"/>
  <c r="C217" i="11" l="1"/>
  <c r="C218" i="11" s="1"/>
  <c r="B218" i="11" s="1"/>
  <c r="AM240" i="5"/>
  <c r="L240" i="5"/>
  <c r="C238" i="1"/>
  <c r="D166" i="11"/>
  <c r="D165" i="11"/>
  <c r="C219" i="11" l="1"/>
  <c r="C220" i="11" s="1"/>
  <c r="B220" i="11" s="1"/>
  <c r="L241" i="5"/>
  <c r="AM241" i="5"/>
  <c r="AH171" i="5" s="1"/>
  <c r="AH172" i="5" s="1"/>
  <c r="C239" i="1"/>
  <c r="D168" i="11"/>
  <c r="D167" i="11"/>
  <c r="C221" i="11" l="1"/>
  <c r="C222" i="11" s="1"/>
  <c r="B222" i="11" s="1"/>
  <c r="AM242" i="5"/>
  <c r="L242" i="5"/>
  <c r="C240" i="1"/>
  <c r="D170" i="11"/>
  <c r="D169" i="11"/>
  <c r="C223" i="11" l="1"/>
  <c r="C224" i="11" s="1"/>
  <c r="B224" i="11" s="1"/>
  <c r="L243" i="5"/>
  <c r="AM243" i="5"/>
  <c r="C241" i="1"/>
  <c r="D172" i="11"/>
  <c r="D171" i="11"/>
  <c r="C225" i="11" l="1"/>
  <c r="C226" i="11" s="1"/>
  <c r="B226" i="11" s="1"/>
  <c r="L244" i="5"/>
  <c r="AH173" i="5"/>
  <c r="AH168" i="5" s="1"/>
  <c r="J254" i="5" s="1"/>
  <c r="I258" i="5" s="1"/>
  <c r="AM244" i="5"/>
  <c r="C244" i="1"/>
  <c r="D174" i="11"/>
  <c r="D173" i="11"/>
  <c r="C58" i="20" l="1"/>
  <c r="C70" i="20" s="1"/>
  <c r="D567" i="5"/>
  <c r="B78" i="16"/>
  <c r="B81" i="16" s="1"/>
  <c r="B87" i="16" s="1"/>
  <c r="C227" i="11"/>
  <c r="C228" i="11" s="1"/>
  <c r="C229" i="11" s="1"/>
  <c r="C230" i="11" s="1"/>
  <c r="C231" i="11" s="1"/>
  <c r="C232" i="11" s="1"/>
  <c r="C233" i="11" s="1"/>
  <c r="C234" i="11" s="1"/>
  <c r="C235" i="11" s="1"/>
  <c r="C236" i="11" s="1"/>
  <c r="C237" i="11" s="1"/>
  <c r="C238" i="11" s="1"/>
  <c r="C239" i="11" s="1"/>
  <c r="C240" i="11" s="1"/>
  <c r="C241" i="11" s="1"/>
  <c r="C242" i="11" s="1"/>
  <c r="C243" i="11" s="1"/>
  <c r="C244" i="11" s="1"/>
  <c r="C245" i="11" s="1"/>
  <c r="C246" i="11" s="1"/>
  <c r="C247" i="11" s="1"/>
  <c r="C248" i="11" s="1"/>
  <c r="C249" i="11" s="1"/>
  <c r="C250" i="11" s="1"/>
  <c r="C251" i="11" s="1"/>
  <c r="C252" i="11" s="1"/>
  <c r="C253" i="11" s="1"/>
  <c r="C254" i="11" s="1"/>
  <c r="C255" i="11" s="1"/>
  <c r="C256" i="11" s="1"/>
  <c r="C257" i="11" s="1"/>
  <c r="C258" i="11" s="1"/>
  <c r="C259" i="11" s="1"/>
  <c r="C260" i="11" s="1"/>
  <c r="B260" i="11" s="1"/>
  <c r="C245" i="1"/>
  <c r="D176" i="11"/>
  <c r="D175" i="11"/>
  <c r="D572" i="5" l="1"/>
  <c r="E567" i="5"/>
  <c r="E572" i="5" s="1"/>
  <c r="B94" i="16"/>
  <c r="B92" i="16"/>
  <c r="B93" i="16"/>
  <c r="C261" i="11"/>
  <c r="C262" i="11" s="1"/>
  <c r="B262" i="11" s="1"/>
  <c r="C246" i="1"/>
  <c r="D178" i="11"/>
  <c r="D177" i="11"/>
  <c r="B102" i="16" l="1"/>
  <c r="K14" i="15" s="1"/>
  <c r="K8" i="15"/>
  <c r="G567" i="5"/>
  <c r="G570" i="5"/>
  <c r="I20" i="23" s="1"/>
  <c r="G569" i="5"/>
  <c r="I18" i="23" s="1"/>
  <c r="G568" i="5"/>
  <c r="I16" i="23" s="1"/>
  <c r="B103" i="16"/>
  <c r="L14" i="15" s="1"/>
  <c r="L8" i="15"/>
  <c r="B104" i="16"/>
  <c r="M14" i="15" s="1"/>
  <c r="M8" i="15"/>
  <c r="E8" i="19"/>
  <c r="B8" i="19" s="1"/>
  <c r="E9" i="19"/>
  <c r="B9" i="19" s="1"/>
  <c r="E5" i="19"/>
  <c r="B5" i="19" s="1"/>
  <c r="E7" i="19"/>
  <c r="B7" i="19" s="1"/>
  <c r="I5" i="23"/>
  <c r="E6" i="19"/>
  <c r="B6" i="19" s="1"/>
  <c r="C263" i="11"/>
  <c r="C264" i="11" s="1"/>
  <c r="B264" i="11" s="1"/>
  <c r="C247" i="1"/>
  <c r="D180" i="11"/>
  <c r="D179" i="11"/>
  <c r="B16" i="23" l="1"/>
  <c r="B17" i="23"/>
  <c r="B21" i="23"/>
  <c r="B20" i="23"/>
  <c r="B19" i="23"/>
  <c r="B18" i="23"/>
  <c r="I11" i="23"/>
  <c r="G572" i="5"/>
  <c r="C265" i="11"/>
  <c r="C266" i="11" s="1"/>
  <c r="B266" i="11" s="1"/>
  <c r="C248" i="1"/>
  <c r="D182" i="11"/>
  <c r="D181" i="11"/>
  <c r="B12" i="23" l="1"/>
  <c r="B11" i="23"/>
  <c r="C267" i="11"/>
  <c r="C268" i="11" s="1"/>
  <c r="B268" i="11" s="1"/>
  <c r="C253" i="1"/>
  <c r="D184" i="11"/>
  <c r="D183" i="11"/>
  <c r="C5" i="15" l="1"/>
  <c r="D19" i="15"/>
  <c r="D5" i="15"/>
  <c r="D18" i="15"/>
  <c r="C3" i="15"/>
  <c r="D15" i="15"/>
  <c r="D22" i="15"/>
  <c r="D6" i="15"/>
  <c r="D21" i="15"/>
  <c r="D9" i="15"/>
  <c r="C23" i="15"/>
  <c r="D7" i="15"/>
  <c r="D27" i="15"/>
  <c r="C15" i="15"/>
  <c r="B23" i="15"/>
  <c r="E3" i="15"/>
  <c r="E18" i="15"/>
  <c r="C17" i="15"/>
  <c r="C7" i="15"/>
  <c r="B11" i="15"/>
  <c r="E30" i="15"/>
  <c r="C29" i="15"/>
  <c r="B17" i="15"/>
  <c r="B7" i="15"/>
  <c r="B9" i="15"/>
  <c r="B5" i="15"/>
  <c r="B25" i="15"/>
  <c r="E26" i="15"/>
  <c r="E14" i="15"/>
  <c r="B12" i="15"/>
  <c r="C26" i="15"/>
  <c r="D12" i="15"/>
  <c r="E8" i="15"/>
  <c r="E20" i="15"/>
  <c r="E12" i="15"/>
  <c r="E28" i="15"/>
  <c r="D16" i="15"/>
  <c r="C20" i="15"/>
  <c r="B18" i="15"/>
  <c r="E5" i="15"/>
  <c r="D28" i="15"/>
  <c r="C18" i="15"/>
  <c r="B22" i="15"/>
  <c r="E21" i="15"/>
  <c r="E29" i="15"/>
  <c r="C12" i="15"/>
  <c r="C28" i="15"/>
  <c r="B20" i="15"/>
  <c r="E17" i="15"/>
  <c r="B16" i="15"/>
  <c r="E19" i="15"/>
  <c r="E23" i="15"/>
  <c r="D10" i="15"/>
  <c r="B3" i="15"/>
  <c r="D25" i="15"/>
  <c r="D30" i="15"/>
  <c r="D13" i="15"/>
  <c r="C19" i="15"/>
  <c r="D14" i="15"/>
  <c r="D26" i="15"/>
  <c r="D17" i="15"/>
  <c r="D29" i="15"/>
  <c r="D11" i="15"/>
  <c r="D23" i="15"/>
  <c r="D3" i="15"/>
  <c r="B15" i="15"/>
  <c r="C11" i="15"/>
  <c r="C27" i="15"/>
  <c r="C21" i="15"/>
  <c r="C13" i="15"/>
  <c r="B19" i="15"/>
  <c r="B21" i="15"/>
  <c r="C9" i="15"/>
  <c r="C25" i="15"/>
  <c r="B13" i="15"/>
  <c r="B27" i="15"/>
  <c r="D20" i="15"/>
  <c r="B29" i="15"/>
  <c r="E10" i="15"/>
  <c r="E22" i="15"/>
  <c r="E6" i="15"/>
  <c r="D24" i="15"/>
  <c r="B30" i="15"/>
  <c r="C14" i="15"/>
  <c r="E13" i="15"/>
  <c r="E16" i="15"/>
  <c r="E4" i="15"/>
  <c r="E24" i="15"/>
  <c r="D4" i="15"/>
  <c r="C6" i="15"/>
  <c r="C10" i="15"/>
  <c r="D8" i="15"/>
  <c r="C22" i="15"/>
  <c r="C30" i="15"/>
  <c r="B10" i="15"/>
  <c r="C4" i="15"/>
  <c r="C16" i="15"/>
  <c r="C8" i="15"/>
  <c r="C24" i="15"/>
  <c r="B14" i="15"/>
  <c r="B26" i="15"/>
  <c r="E9" i="15"/>
  <c r="E27" i="15"/>
  <c r="B4" i="15"/>
  <c r="B24" i="15"/>
  <c r="E15" i="15"/>
  <c r="E7" i="15"/>
  <c r="E25" i="15"/>
  <c r="B6" i="15"/>
  <c r="B8" i="15"/>
  <c r="B28" i="15"/>
  <c r="E11" i="15"/>
  <c r="C269" i="11"/>
  <c r="C270" i="11" s="1"/>
  <c r="B270" i="11" s="1"/>
  <c r="C266" i="1"/>
  <c r="D186" i="11"/>
  <c r="D185" i="11"/>
  <c r="C271" i="11" l="1"/>
  <c r="C272" i="11" s="1"/>
  <c r="B272" i="11" s="1"/>
  <c r="C271" i="1"/>
  <c r="D189" i="11"/>
  <c r="C276" i="1" l="1"/>
  <c r="C292" i="1" s="1"/>
  <c r="D193" i="11" s="1"/>
  <c r="D191" i="11"/>
  <c r="D190" i="11"/>
  <c r="C273" i="11"/>
  <c r="C274" i="11" s="1"/>
  <c r="B274" i="11" s="1"/>
  <c r="C293" i="1"/>
  <c r="D195" i="11" s="1"/>
  <c r="D192" i="11"/>
  <c r="C275" i="11" l="1"/>
  <c r="C276" i="11" s="1"/>
  <c r="B276" i="11" s="1"/>
  <c r="C295" i="1"/>
  <c r="D197" i="11" s="1"/>
  <c r="D194" i="11"/>
  <c r="C277" i="11" l="1"/>
  <c r="C278" i="11" s="1"/>
  <c r="B278" i="11" s="1"/>
  <c r="C296" i="1"/>
  <c r="D199" i="11" s="1"/>
  <c r="D196" i="11"/>
  <c r="C279" i="11" l="1"/>
  <c r="C280" i="11" s="1"/>
  <c r="B280" i="11" s="1"/>
  <c r="C297" i="1"/>
  <c r="D201" i="11" s="1"/>
  <c r="D198" i="11"/>
  <c r="C281" i="11" l="1"/>
  <c r="C282" i="11" s="1"/>
  <c r="B282" i="11" s="1"/>
  <c r="C298" i="1"/>
  <c r="D203" i="11" s="1"/>
  <c r="D200" i="11"/>
  <c r="C299" i="1"/>
  <c r="C283" i="11" l="1"/>
  <c r="C284" i="11" s="1"/>
  <c r="B284" i="11" s="1"/>
  <c r="D202" i="11"/>
  <c r="C300" i="1"/>
  <c r="D205" i="11"/>
  <c r="D204" i="11"/>
  <c r="C285" i="11" l="1"/>
  <c r="C286" i="11" s="1"/>
  <c r="B286" i="11" s="1"/>
  <c r="C301" i="1"/>
  <c r="D207" i="11"/>
  <c r="D206" i="11"/>
  <c r="C287" i="11" l="1"/>
  <c r="C288" i="11" s="1"/>
  <c r="B288" i="11" s="1"/>
  <c r="C302" i="1"/>
  <c r="D209" i="11"/>
  <c r="D208" i="11"/>
  <c r="C289" i="11" l="1"/>
  <c r="C290" i="11" s="1"/>
  <c r="B290" i="11" s="1"/>
  <c r="C303" i="1"/>
  <c r="D211" i="11"/>
  <c r="D210" i="11"/>
  <c r="C291" i="11" l="1"/>
  <c r="C292" i="11" s="1"/>
  <c r="B292" i="11" s="1"/>
  <c r="C304" i="1"/>
  <c r="D213" i="11"/>
  <c r="D212" i="11"/>
  <c r="C293" i="11" l="1"/>
  <c r="C294" i="11" s="1"/>
  <c r="B294" i="11" s="1"/>
  <c r="C305" i="1"/>
  <c r="D215" i="11"/>
  <c r="D214" i="11"/>
  <c r="C295" i="11" l="1"/>
  <c r="C296" i="11" s="1"/>
  <c r="B296" i="11" s="1"/>
  <c r="C306" i="1"/>
  <c r="D217" i="11"/>
  <c r="D216" i="11"/>
  <c r="C297" i="11" l="1"/>
  <c r="C298" i="11" s="1"/>
  <c r="B298" i="11" s="1"/>
  <c r="C307" i="1"/>
  <c r="D219" i="11"/>
  <c r="D218" i="11"/>
  <c r="C299" i="11" l="1"/>
  <c r="C300" i="11" s="1"/>
  <c r="B300" i="11" s="1"/>
  <c r="C308" i="1"/>
  <c r="D221" i="11"/>
  <c r="D220" i="11"/>
  <c r="C301" i="11" l="1"/>
  <c r="C302" i="11" s="1"/>
  <c r="B302" i="11" s="1"/>
  <c r="C309" i="1"/>
  <c r="D223" i="11"/>
  <c r="D222" i="11"/>
  <c r="C303" i="11" l="1"/>
  <c r="C304" i="11" s="1"/>
  <c r="B304" i="11" s="1"/>
  <c r="C310" i="1"/>
  <c r="D225" i="11"/>
  <c r="D224" i="11"/>
  <c r="C305" i="11" l="1"/>
  <c r="C306" i="11" s="1"/>
  <c r="B306" i="11" s="1"/>
  <c r="C314" i="1"/>
  <c r="D227" i="11"/>
  <c r="D226" i="11"/>
  <c r="C307" i="11" l="1"/>
  <c r="C308" i="11" s="1"/>
  <c r="B308" i="11" s="1"/>
  <c r="C315" i="1"/>
  <c r="D228" i="11"/>
  <c r="D229" i="11"/>
  <c r="C309" i="11" l="1"/>
  <c r="C310" i="11" s="1"/>
  <c r="B310" i="11" s="1"/>
  <c r="C316" i="1"/>
  <c r="D231" i="11"/>
  <c r="D230" i="11"/>
  <c r="C311" i="11" l="1"/>
  <c r="C312" i="11" s="1"/>
  <c r="B312" i="11" s="1"/>
  <c r="C318" i="1"/>
  <c r="D232" i="11"/>
  <c r="D233" i="11"/>
  <c r="C313" i="11" l="1"/>
  <c r="C314" i="11" s="1"/>
  <c r="B314" i="11" s="1"/>
  <c r="C323" i="1"/>
  <c r="D235" i="11"/>
  <c r="D234" i="11"/>
  <c r="C315" i="11" l="1"/>
  <c r="C316" i="11" s="1"/>
  <c r="B316" i="11" s="1"/>
  <c r="C324" i="1"/>
  <c r="D236" i="11"/>
  <c r="D237" i="11"/>
  <c r="C317" i="11" l="1"/>
  <c r="C318" i="11" s="1"/>
  <c r="B318" i="11" s="1"/>
  <c r="C325" i="1"/>
  <c r="D239" i="11"/>
  <c r="D238" i="11"/>
  <c r="C319" i="11" l="1"/>
  <c r="C320" i="11" s="1"/>
  <c r="B320" i="11" s="1"/>
  <c r="C327" i="1"/>
  <c r="D240" i="11"/>
  <c r="D241" i="11"/>
  <c r="C321" i="11" l="1"/>
  <c r="C322" i="11" s="1"/>
  <c r="B322" i="11" s="1"/>
  <c r="C332" i="1"/>
  <c r="D243" i="11"/>
  <c r="D242" i="11"/>
  <c r="C323" i="11" l="1"/>
  <c r="C324" i="11" s="1"/>
  <c r="B324" i="11" s="1"/>
  <c r="C333" i="1"/>
  <c r="D244" i="11"/>
  <c r="D245" i="11"/>
  <c r="C325" i="11" l="1"/>
  <c r="C326" i="11" s="1"/>
  <c r="B326" i="11" s="1"/>
  <c r="C334" i="1"/>
  <c r="D247" i="11"/>
  <c r="D246" i="11"/>
  <c r="C327" i="11" l="1"/>
  <c r="C328" i="11" s="1"/>
  <c r="B328" i="11" s="1"/>
  <c r="C336" i="1"/>
  <c r="D248" i="11"/>
  <c r="D249" i="11"/>
  <c r="C329" i="11" l="1"/>
  <c r="C330" i="11" s="1"/>
  <c r="B330" i="11" s="1"/>
  <c r="C341" i="1"/>
  <c r="D251" i="11"/>
  <c r="D250" i="11"/>
  <c r="C331" i="11" l="1"/>
  <c r="C332" i="11" s="1"/>
  <c r="B332" i="11" s="1"/>
  <c r="C342" i="1"/>
  <c r="D252" i="11"/>
  <c r="D253" i="11"/>
  <c r="C333" i="11" l="1"/>
  <c r="C334" i="11" s="1"/>
  <c r="B334" i="11" s="1"/>
  <c r="C343" i="1"/>
  <c r="D255" i="11"/>
  <c r="D254" i="11"/>
  <c r="C335" i="11" l="1"/>
  <c r="C336" i="11" s="1"/>
  <c r="B336" i="11" s="1"/>
  <c r="C345" i="1"/>
  <c r="D256" i="11"/>
  <c r="D257" i="11"/>
  <c r="C337" i="11" l="1"/>
  <c r="C338" i="11" s="1"/>
  <c r="B338" i="11" s="1"/>
  <c r="C351" i="1"/>
  <c r="D259" i="11"/>
  <c r="D258" i="11"/>
  <c r="C339" i="11" l="1"/>
  <c r="C340" i="11" s="1"/>
  <c r="B340" i="11" s="1"/>
  <c r="C352" i="1"/>
  <c r="D260" i="11"/>
  <c r="D261" i="11"/>
  <c r="C341" i="11" l="1"/>
  <c r="C342" i="11" s="1"/>
  <c r="B342" i="11" s="1"/>
  <c r="C354" i="1"/>
  <c r="D263" i="11"/>
  <c r="D262" i="11"/>
  <c r="C343" i="11" l="1"/>
  <c r="C344" i="11" s="1"/>
  <c r="B344" i="11" s="1"/>
  <c r="C355" i="1"/>
  <c r="D264" i="11"/>
  <c r="D265" i="11"/>
  <c r="C345" i="11" l="1"/>
  <c r="C346" i="11" s="1"/>
  <c r="B346" i="11" s="1"/>
  <c r="C356" i="1"/>
  <c r="D267" i="11"/>
  <c r="D266" i="11"/>
  <c r="C347" i="11" l="1"/>
  <c r="C348" i="11" s="1"/>
  <c r="B348" i="11" s="1"/>
  <c r="C357" i="1"/>
  <c r="D268" i="11"/>
  <c r="D269" i="11"/>
  <c r="C349" i="11" l="1"/>
  <c r="C350" i="11" s="1"/>
  <c r="B350" i="11" s="1"/>
  <c r="C358" i="1"/>
  <c r="D271" i="11"/>
  <c r="D270" i="11"/>
  <c r="C351" i="11" l="1"/>
  <c r="C352" i="11" s="1"/>
  <c r="B352" i="11" s="1"/>
  <c r="C359" i="1"/>
  <c r="D272" i="11"/>
  <c r="D273" i="11"/>
  <c r="C353" i="11" l="1"/>
  <c r="C354" i="11" s="1"/>
  <c r="B354" i="11" s="1"/>
  <c r="C360" i="1"/>
  <c r="D275" i="11"/>
  <c r="D274" i="11"/>
  <c r="C355" i="11" l="1"/>
  <c r="C356" i="11" s="1"/>
  <c r="C357" i="11" s="1"/>
  <c r="B357" i="11" s="1"/>
  <c r="D277" i="11"/>
  <c r="C361" i="1"/>
  <c r="D276" i="11"/>
  <c r="C358" i="11" l="1"/>
  <c r="C359" i="11" s="1"/>
  <c r="B359" i="11" s="1"/>
  <c r="D278" i="11"/>
  <c r="C362" i="1"/>
  <c r="D279" i="11"/>
  <c r="C360" i="11" l="1"/>
  <c r="C361" i="11" s="1"/>
  <c r="B361" i="11" s="1"/>
  <c r="D281" i="11"/>
  <c r="C363" i="1"/>
  <c r="D280" i="11"/>
  <c r="C362" i="11" l="1"/>
  <c r="C363" i="11" s="1"/>
  <c r="B363" i="11" s="1"/>
  <c r="D282" i="11"/>
  <c r="C364" i="1"/>
  <c r="D283" i="11"/>
  <c r="C364" i="11" l="1"/>
  <c r="D285" i="11"/>
  <c r="C365" i="1"/>
  <c r="D284" i="11"/>
  <c r="C365" i="11" l="1"/>
  <c r="C366" i="11" s="1"/>
  <c r="C367" i="11" s="1"/>
  <c r="C368" i="11" s="1"/>
  <c r="B368" i="11" s="1"/>
  <c r="B364" i="11"/>
  <c r="D286" i="11"/>
  <c r="C366" i="1"/>
  <c r="D287" i="11"/>
  <c r="C369" i="11" l="1"/>
  <c r="C370" i="11" s="1"/>
  <c r="B370" i="11" s="1"/>
  <c r="D289" i="11"/>
  <c r="C367" i="1"/>
  <c r="D288" i="11"/>
  <c r="C371" i="11" l="1"/>
  <c r="C372" i="11" s="1"/>
  <c r="B372" i="11" s="1"/>
  <c r="D290" i="11"/>
  <c r="C368" i="1"/>
  <c r="D291" i="11"/>
  <c r="C373" i="11" l="1"/>
  <c r="C374" i="11" s="1"/>
  <c r="B374" i="11" s="1"/>
  <c r="D293" i="11"/>
  <c r="C369" i="1"/>
  <c r="D292" i="11"/>
  <c r="C375" i="11" l="1"/>
  <c r="C376" i="11" s="1"/>
  <c r="B376" i="11" s="1"/>
  <c r="D294" i="11"/>
  <c r="C376" i="1"/>
  <c r="D295" i="11"/>
  <c r="C377" i="11" l="1"/>
  <c r="C378" i="11" s="1"/>
  <c r="C379" i="11" s="1"/>
  <c r="C380" i="11" s="1"/>
  <c r="C381" i="11" s="1"/>
  <c r="C382" i="11" s="1"/>
  <c r="C383" i="11" s="1"/>
  <c r="C384" i="11" s="1"/>
  <c r="C385" i="11" s="1"/>
  <c r="C386" i="11" s="1"/>
  <c r="B385" i="11"/>
  <c r="D296" i="11"/>
  <c r="C377" i="1"/>
  <c r="D297" i="11"/>
  <c r="C387" i="11" l="1"/>
  <c r="C388" i="11" s="1"/>
  <c r="C389" i="11" s="1"/>
  <c r="C390" i="11" s="1"/>
  <c r="C391" i="11" s="1"/>
  <c r="C392" i="11" s="1"/>
  <c r="C393" i="11" s="1"/>
  <c r="C394" i="11" s="1"/>
  <c r="C395" i="11" s="1"/>
  <c r="C396" i="11" s="1"/>
  <c r="C397" i="11" s="1"/>
  <c r="C398" i="11" s="1"/>
  <c r="C399" i="11" s="1"/>
  <c r="C400" i="11" s="1"/>
  <c r="C401" i="11" s="1"/>
  <c r="C402" i="11" s="1"/>
  <c r="C403" i="11" s="1"/>
  <c r="C404" i="11" s="1"/>
  <c r="C405" i="11" s="1"/>
  <c r="C406" i="11" s="1"/>
  <c r="C407" i="11" s="1"/>
  <c r="B386" i="11"/>
  <c r="D298" i="11"/>
  <c r="C379" i="1"/>
  <c r="D299" i="11"/>
  <c r="C408" i="11" l="1"/>
  <c r="B407" i="11"/>
  <c r="D300" i="11"/>
  <c r="C380" i="1"/>
  <c r="D301" i="11"/>
  <c r="C409" i="11" l="1"/>
  <c r="C410" i="11" s="1"/>
  <c r="C411" i="11" s="1"/>
  <c r="C412" i="11" s="1"/>
  <c r="C413" i="11" s="1"/>
  <c r="C414" i="11" s="1"/>
  <c r="C415" i="11" s="1"/>
  <c r="C416" i="11" s="1"/>
  <c r="C417" i="11" s="1"/>
  <c r="C418" i="11" s="1"/>
  <c r="C419" i="11" s="1"/>
  <c r="C420" i="11" s="1"/>
  <c r="C421" i="11" s="1"/>
  <c r="C422" i="11" s="1"/>
  <c r="B408" i="11"/>
  <c r="D302" i="11"/>
  <c r="C381" i="1"/>
  <c r="D303" i="11"/>
  <c r="C423" i="11" l="1"/>
  <c r="C424" i="11" s="1"/>
  <c r="B424" i="11" s="1"/>
  <c r="B422" i="11"/>
  <c r="D304" i="11"/>
  <c r="C382" i="1"/>
  <c r="D305" i="11"/>
  <c r="C425" i="11" l="1"/>
  <c r="C426" i="11" s="1"/>
  <c r="B425" i="11"/>
  <c r="D306" i="11"/>
  <c r="C383" i="1"/>
  <c r="D307" i="11"/>
  <c r="B426" i="11" l="1"/>
  <c r="C427" i="11"/>
  <c r="D308" i="11"/>
  <c r="C384" i="1"/>
  <c r="D309" i="11"/>
  <c r="B427" i="11" l="1"/>
  <c r="C428" i="11"/>
  <c r="D310" i="11"/>
  <c r="C385" i="1"/>
  <c r="D311" i="11"/>
  <c r="B428" i="11" l="1"/>
  <c r="C429" i="11"/>
  <c r="D312" i="11"/>
  <c r="C386" i="1"/>
  <c r="D313" i="11"/>
  <c r="B429" i="11" l="1"/>
  <c r="C430" i="11"/>
  <c r="D314" i="11"/>
  <c r="C387" i="1"/>
  <c r="D315" i="11"/>
  <c r="B430" i="11" l="1"/>
  <c r="C431" i="11"/>
  <c r="D316" i="11"/>
  <c r="C388" i="1"/>
  <c r="D317" i="11"/>
  <c r="B431" i="11" l="1"/>
  <c r="C432" i="11"/>
  <c r="D318" i="11"/>
  <c r="C389" i="1"/>
  <c r="D319" i="11"/>
  <c r="B432" i="11" l="1"/>
  <c r="C433" i="11"/>
  <c r="D320" i="11"/>
  <c r="C390" i="1"/>
  <c r="D321" i="11"/>
  <c r="B433" i="11" l="1"/>
  <c r="C434" i="11"/>
  <c r="D322" i="11"/>
  <c r="C391" i="1"/>
  <c r="D323" i="11"/>
  <c r="C435" i="11" l="1"/>
  <c r="C436" i="11" s="1"/>
  <c r="B434" i="11"/>
  <c r="D324" i="11"/>
  <c r="C392" i="1"/>
  <c r="D325" i="11"/>
  <c r="C437" i="11" l="1"/>
  <c r="C438" i="11" s="1"/>
  <c r="C439" i="11" s="1"/>
  <c r="C440" i="11" s="1"/>
  <c r="C441" i="11" s="1"/>
  <c r="C442" i="11" s="1"/>
  <c r="C443" i="11" s="1"/>
  <c r="C444" i="11" s="1"/>
  <c r="C445" i="11" s="1"/>
  <c r="C446" i="11" s="1"/>
  <c r="C447" i="11" s="1"/>
  <c r="C448" i="11" s="1"/>
  <c r="C449" i="11" s="1"/>
  <c r="C450" i="11" s="1"/>
  <c r="C451" i="11" s="1"/>
  <c r="C452" i="11" s="1"/>
  <c r="C453" i="11" s="1"/>
  <c r="C454" i="11" s="1"/>
  <c r="C455" i="11" s="1"/>
  <c r="C456" i="11" s="1"/>
  <c r="C457" i="11" s="1"/>
  <c r="C458" i="11" s="1"/>
  <c r="C459" i="11" s="1"/>
  <c r="C460" i="11" s="1"/>
  <c r="C461" i="11" s="1"/>
  <c r="C462" i="11" s="1"/>
  <c r="C463" i="11" s="1"/>
  <c r="C464" i="11" s="1"/>
  <c r="C465" i="11" s="1"/>
  <c r="C466" i="11" s="1"/>
  <c r="C467" i="11" s="1"/>
  <c r="C468" i="11" s="1"/>
  <c r="C469" i="11" s="1"/>
  <c r="C470" i="11" s="1"/>
  <c r="C471" i="11" s="1"/>
  <c r="C472" i="11" s="1"/>
  <c r="C473" i="11" s="1"/>
  <c r="C474" i="11" s="1"/>
  <c r="C475" i="11" s="1"/>
  <c r="C476" i="11" s="1"/>
  <c r="C477" i="11" s="1"/>
  <c r="C478" i="11" s="1"/>
  <c r="C479" i="11" s="1"/>
  <c r="C480" i="11" s="1"/>
  <c r="C481" i="11" s="1"/>
  <c r="C482" i="11" s="1"/>
  <c r="C483" i="11" s="1"/>
  <c r="C484" i="11" s="1"/>
  <c r="C485" i="11" s="1"/>
  <c r="C486" i="11" s="1"/>
  <c r="C487" i="11" s="1"/>
  <c r="C488" i="11" s="1"/>
  <c r="C489" i="11" s="1"/>
  <c r="C490" i="11" s="1"/>
  <c r="C491" i="11" s="1"/>
  <c r="C492" i="11" s="1"/>
  <c r="C493" i="11" s="1"/>
  <c r="C494" i="11" s="1"/>
  <c r="C495" i="11" s="1"/>
  <c r="C496" i="11" s="1"/>
  <c r="C497" i="11" s="1"/>
  <c r="C498" i="11" s="1"/>
  <c r="C499" i="11" s="1"/>
  <c r="C500" i="11" s="1"/>
  <c r="C501" i="11" s="1"/>
  <c r="C502" i="11" s="1"/>
  <c r="C503" i="11" s="1"/>
  <c r="C504" i="11" s="1"/>
  <c r="C505" i="11" s="1"/>
  <c r="C506" i="11" s="1"/>
  <c r="C507" i="11" s="1"/>
  <c r="C508" i="11" s="1"/>
  <c r="C509" i="11" s="1"/>
  <c r="C510" i="11" s="1"/>
  <c r="C511" i="11" s="1"/>
  <c r="C512" i="11" s="1"/>
  <c r="C513" i="11" s="1"/>
  <c r="C514" i="11" s="1"/>
  <c r="C515" i="11" s="1"/>
  <c r="C516" i="11" s="1"/>
  <c r="C517" i="11" s="1"/>
  <c r="C518" i="11" s="1"/>
  <c r="C519" i="11" s="1"/>
  <c r="C520" i="11" s="1"/>
  <c r="C521" i="11" s="1"/>
  <c r="C522" i="11" s="1"/>
  <c r="B436" i="11"/>
  <c r="D799" i="10" s="1"/>
  <c r="C480" i="10"/>
  <c r="B480" i="10" s="1"/>
  <c r="C596" i="10"/>
  <c r="B596" i="10" s="1"/>
  <c r="D209" i="10"/>
  <c r="D569" i="10"/>
  <c r="D696" i="10"/>
  <c r="D273" i="10"/>
  <c r="C414" i="10"/>
  <c r="B414" i="10" s="1"/>
  <c r="D358" i="10"/>
  <c r="D43" i="10"/>
  <c r="C317" i="10"/>
  <c r="B317" i="10" s="1"/>
  <c r="C120" i="10"/>
  <c r="C143" i="10"/>
  <c r="D568" i="10"/>
  <c r="D335" i="10"/>
  <c r="D119" i="10"/>
  <c r="D627" i="10"/>
  <c r="C589" i="10"/>
  <c r="B589" i="10" s="1"/>
  <c r="D417" i="10"/>
  <c r="D218" i="10"/>
  <c r="D620" i="10"/>
  <c r="C604" i="10"/>
  <c r="B604" i="10" s="1"/>
  <c r="C748" i="10"/>
  <c r="B748" i="10" s="1"/>
  <c r="D314" i="10"/>
  <c r="D79" i="10"/>
  <c r="C475" i="10"/>
  <c r="B475" i="10" s="1"/>
  <c r="C697" i="10"/>
  <c r="B697" i="10" s="1"/>
  <c r="C500" i="10"/>
  <c r="B500" i="10" s="1"/>
  <c r="C295" i="10"/>
  <c r="B295" i="10" s="1"/>
  <c r="C662" i="10"/>
  <c r="B662" i="10" s="1"/>
  <c r="C341" i="10"/>
  <c r="B341" i="10" s="1"/>
  <c r="C629" i="10"/>
  <c r="B629" i="10" s="1"/>
  <c r="D493" i="10"/>
  <c r="C331" i="10"/>
  <c r="B331" i="10" s="1"/>
  <c r="C512" i="10"/>
  <c r="B512" i="10" s="1"/>
  <c r="C698" i="10"/>
  <c r="B698" i="10" s="1"/>
  <c r="C796" i="10"/>
  <c r="B796" i="10" s="1"/>
  <c r="C208" i="10"/>
  <c r="C364" i="10"/>
  <c r="B364" i="10" s="1"/>
  <c r="C578" i="10"/>
  <c r="B578" i="10" s="1"/>
  <c r="C704" i="10"/>
  <c r="B704" i="10" s="1"/>
  <c r="C612" i="10"/>
  <c r="B612" i="10" s="1"/>
  <c r="D420" i="10"/>
  <c r="D789" i="10"/>
  <c r="C337" i="10"/>
  <c r="B337" i="10" s="1"/>
  <c r="D106" i="10"/>
  <c r="C551" i="10"/>
  <c r="B551" i="10" s="1"/>
  <c r="D721" i="10"/>
  <c r="C358" i="10"/>
  <c r="B358" i="10" s="1"/>
  <c r="D114" i="10"/>
  <c r="D395" i="10"/>
  <c r="D202" i="10"/>
  <c r="C335" i="10"/>
  <c r="B335" i="10" s="1"/>
  <c r="C347" i="10"/>
  <c r="B347" i="10" s="1"/>
  <c r="C792" i="10"/>
  <c r="B792" i="10" s="1"/>
  <c r="D666" i="10"/>
  <c r="C785" i="10"/>
  <c r="B785" i="10" s="1"/>
  <c r="D45" i="10"/>
  <c r="D311" i="10"/>
  <c r="C532" i="10"/>
  <c r="B532" i="10" s="1"/>
  <c r="D378" i="10"/>
  <c r="D34" i="10"/>
  <c r="C102" i="10"/>
  <c r="C583" i="10"/>
  <c r="B583" i="10" s="1"/>
  <c r="C97" i="10"/>
  <c r="D645" i="10"/>
  <c r="D421" i="10"/>
  <c r="D775" i="10"/>
  <c r="D246" i="10"/>
  <c r="C745" i="10"/>
  <c r="B745" i="10" s="1"/>
  <c r="D613" i="10"/>
  <c r="C106" i="10"/>
  <c r="D702" i="10"/>
  <c r="D498" i="10"/>
  <c r="D600" i="10"/>
  <c r="C705" i="10"/>
  <c r="B705" i="10" s="1"/>
  <c r="C645" i="10"/>
  <c r="B645" i="10" s="1"/>
  <c r="D447" i="10"/>
  <c r="C284" i="10"/>
  <c r="B284" i="10" s="1"/>
  <c r="D492" i="10"/>
  <c r="C733" i="10"/>
  <c r="B733" i="10" s="1"/>
  <c r="D180" i="10"/>
  <c r="D177" i="10"/>
  <c r="D554" i="10"/>
  <c r="D473" i="10"/>
  <c r="D380" i="10"/>
  <c r="C658" i="10"/>
  <c r="B658" i="10" s="1"/>
  <c r="C395" i="10"/>
  <c r="B395" i="10" s="1"/>
  <c r="D287" i="10"/>
  <c r="D508" i="10"/>
  <c r="D792" i="10"/>
  <c r="C601" i="10"/>
  <c r="B601" i="10" s="1"/>
  <c r="D67" i="10"/>
  <c r="C603" i="10"/>
  <c r="B603" i="10" s="1"/>
  <c r="D408" i="10"/>
  <c r="C569" i="10"/>
  <c r="B569" i="10" s="1"/>
  <c r="D14" i="10"/>
  <c r="D468" i="10"/>
  <c r="D307" i="10"/>
  <c r="D340" i="10"/>
  <c r="D623" i="10"/>
  <c r="C797" i="10"/>
  <c r="B797" i="10" s="1"/>
  <c r="D77" i="10"/>
  <c r="D80" i="10"/>
  <c r="D327" i="10"/>
  <c r="D402" i="10"/>
  <c r="D384" i="10"/>
  <c r="C768" i="10"/>
  <c r="B768" i="10" s="1"/>
  <c r="D746" i="10"/>
  <c r="D344" i="10"/>
  <c r="C231" i="10"/>
  <c r="B231" i="10" s="1"/>
  <c r="D750" i="10"/>
  <c r="C594" i="10"/>
  <c r="B594" i="10" s="1"/>
  <c r="D111" i="10"/>
  <c r="C253" i="10"/>
  <c r="B253" i="10" s="1"/>
  <c r="C489" i="10"/>
  <c r="B489" i="10" s="1"/>
  <c r="D322" i="10"/>
  <c r="C429" i="10"/>
  <c r="B429" i="10" s="1"/>
  <c r="D726" i="10"/>
  <c r="D310" i="10"/>
  <c r="C206" i="10"/>
  <c r="C53" i="10"/>
  <c r="C778" i="10"/>
  <c r="B778" i="10" s="1"/>
  <c r="C725" i="10"/>
  <c r="B725" i="10" s="1"/>
  <c r="C680" i="10"/>
  <c r="B680" i="10" s="1"/>
  <c r="C336" i="10"/>
  <c r="B336" i="10" s="1"/>
  <c r="C256" i="10"/>
  <c r="B256" i="10" s="1"/>
  <c r="D575" i="10"/>
  <c r="C800" i="10"/>
  <c r="B800" i="10" s="1"/>
  <c r="D542" i="10"/>
  <c r="C248" i="10"/>
  <c r="B248" i="10" s="1"/>
  <c r="D60" i="10"/>
  <c r="C595" i="10"/>
  <c r="B595" i="10" s="1"/>
  <c r="D618" i="10"/>
  <c r="C575" i="10"/>
  <c r="B575" i="10" s="1"/>
  <c r="C657" i="10"/>
  <c r="B657" i="10" s="1"/>
  <c r="C755" i="10"/>
  <c r="B755" i="10" s="1"/>
  <c r="D95" i="10"/>
  <c r="D443" i="10"/>
  <c r="C385" i="10"/>
  <c r="B385" i="10" s="1"/>
  <c r="D249" i="10"/>
  <c r="C630" i="10"/>
  <c r="B630" i="10" s="1"/>
  <c r="C406" i="10"/>
  <c r="B406" i="10" s="1"/>
  <c r="C299" i="10"/>
  <c r="B299" i="10" s="1"/>
  <c r="C669" i="10"/>
  <c r="B669" i="10" s="1"/>
  <c r="C766" i="10"/>
  <c r="B766" i="10" s="1"/>
  <c r="C126" i="10"/>
  <c r="D667" i="10"/>
  <c r="D640" i="10"/>
  <c r="C323" i="10"/>
  <c r="B323" i="10" s="1"/>
  <c r="D312" i="10"/>
  <c r="C392" i="10"/>
  <c r="B392" i="10" s="1"/>
  <c r="C541" i="10"/>
  <c r="B541" i="10" s="1"/>
  <c r="D794" i="10"/>
  <c r="D160" i="10"/>
  <c r="C718" i="10"/>
  <c r="B718" i="10" s="1"/>
  <c r="C353" i="10"/>
  <c r="B353" i="10" s="1"/>
  <c r="C471" i="10"/>
  <c r="B471" i="10" s="1"/>
  <c r="C215" i="10"/>
  <c r="D506" i="10"/>
  <c r="D24" i="10"/>
  <c r="C109" i="10"/>
  <c r="C653" i="10"/>
  <c r="B653" i="10" s="1"/>
  <c r="D442" i="10"/>
  <c r="D757" i="10"/>
  <c r="C93" i="10"/>
  <c r="D527" i="10"/>
  <c r="D453" i="10"/>
  <c r="C790" i="10"/>
  <c r="B790" i="10" s="1"/>
  <c r="C318" i="10"/>
  <c r="B318" i="10" s="1"/>
  <c r="C396" i="10"/>
  <c r="B396" i="10" s="1"/>
  <c r="D181" i="10"/>
  <c r="C140" i="10"/>
  <c r="C538" i="10"/>
  <c r="B538" i="10" s="1"/>
  <c r="C759" i="10"/>
  <c r="B759" i="10" s="1"/>
  <c r="C153" i="10"/>
  <c r="D564" i="10"/>
  <c r="D169" i="10"/>
  <c r="C200" i="10"/>
  <c r="D41" i="10"/>
  <c r="C346" i="10"/>
  <c r="B346" i="10" s="1"/>
  <c r="D354" i="10"/>
  <c r="D138" i="10"/>
  <c r="D511" i="10"/>
  <c r="D708" i="10"/>
  <c r="D266" i="10"/>
  <c r="D643" i="10"/>
  <c r="D381" i="10"/>
  <c r="D760" i="10"/>
  <c r="C380" i="10"/>
  <c r="B380" i="10" s="1"/>
  <c r="D534" i="10"/>
  <c r="C592" i="10"/>
  <c r="B592" i="10" s="1"/>
  <c r="C488" i="10"/>
  <c r="B488" i="10" s="1"/>
  <c r="D99" i="10"/>
  <c r="C156" i="10"/>
  <c r="C767" i="10"/>
  <c r="B767" i="10" s="1"/>
  <c r="D765" i="10"/>
  <c r="C360" i="10"/>
  <c r="B360" i="10" s="1"/>
  <c r="C643" i="10"/>
  <c r="B643" i="10" s="1"/>
  <c r="D615" i="10"/>
  <c r="D469" i="10"/>
  <c r="D665" i="10"/>
  <c r="C332" i="10"/>
  <c r="B332" i="10" s="1"/>
  <c r="C686" i="10"/>
  <c r="B686" i="10" s="1"/>
  <c r="C401" i="10"/>
  <c r="B401" i="10" s="1"/>
  <c r="D388" i="10"/>
  <c r="D516" i="10"/>
  <c r="C369" i="10"/>
  <c r="B369" i="10" s="1"/>
  <c r="C148" i="10"/>
  <c r="D71" i="10"/>
  <c r="C523" i="10"/>
  <c r="B523" i="10" s="1"/>
  <c r="C45" i="10"/>
  <c r="D471" i="10"/>
  <c r="C535" i="10"/>
  <c r="B535" i="10" s="1"/>
  <c r="C455" i="10"/>
  <c r="B455" i="10" s="1"/>
  <c r="D547" i="10"/>
  <c r="C668" i="10"/>
  <c r="B668" i="10" s="1"/>
  <c r="D743" i="10"/>
  <c r="C146" i="10"/>
  <c r="D239" i="10"/>
  <c r="D550" i="10"/>
  <c r="C484" i="10"/>
  <c r="B484" i="10" s="1"/>
  <c r="C584" i="10"/>
  <c r="B584" i="10" s="1"/>
  <c r="D691" i="10"/>
  <c r="C528" i="10"/>
  <c r="B528" i="10" s="1"/>
  <c r="D176" i="10"/>
  <c r="D405" i="10"/>
  <c r="D635" i="10"/>
  <c r="D796" i="10"/>
  <c r="D731" i="10"/>
  <c r="D606" i="10"/>
  <c r="D213" i="10"/>
  <c r="D31" i="10"/>
  <c r="C617" i="10"/>
  <c r="B617" i="10" s="1"/>
  <c r="D483" i="10"/>
  <c r="C228" i="10"/>
  <c r="B228" i="10" s="1"/>
  <c r="C747" i="10"/>
  <c r="B747" i="10" s="1"/>
  <c r="C504" i="10"/>
  <c r="B504" i="10" s="1"/>
  <c r="D379" i="10"/>
  <c r="D318" i="10"/>
  <c r="C241" i="10"/>
  <c r="B241" i="10" s="1"/>
  <c r="D339" i="10"/>
  <c r="D88" i="10"/>
  <c r="D184" i="10"/>
  <c r="C292" i="10"/>
  <c r="B292" i="10" s="1"/>
  <c r="C159" i="10"/>
  <c r="C456" i="10"/>
  <c r="B456" i="10" s="1"/>
  <c r="C644" i="10"/>
  <c r="B644" i="10" s="1"/>
  <c r="D302" i="10"/>
  <c r="D350" i="10"/>
  <c r="C124" i="10"/>
  <c r="C784" i="10"/>
  <c r="B784" i="10" s="1"/>
  <c r="C509" i="10"/>
  <c r="B509" i="10" s="1"/>
  <c r="D393" i="10"/>
  <c r="D320" i="10"/>
  <c r="D194" i="10"/>
  <c r="C76" i="10"/>
  <c r="D629" i="10"/>
  <c r="D747" i="10"/>
  <c r="C553" i="10"/>
  <c r="B553" i="10" s="1"/>
  <c r="D155" i="10"/>
  <c r="D742" i="10"/>
  <c r="C457" i="10"/>
  <c r="B457" i="10" s="1"/>
  <c r="C663" i="10"/>
  <c r="B663" i="10" s="1"/>
  <c r="C724" i="10"/>
  <c r="B724" i="10" s="1"/>
  <c r="C571" i="10"/>
  <c r="B571" i="10" s="1"/>
  <c r="C264" i="10"/>
  <c r="B264" i="10" s="1"/>
  <c r="D772" i="10"/>
  <c r="C557" i="10"/>
  <c r="B557" i="10" s="1"/>
  <c r="C424" i="10"/>
  <c r="B424" i="10" s="1"/>
  <c r="C249" i="10"/>
  <c r="B249" i="10" s="1"/>
  <c r="D126" i="10"/>
  <c r="C326" i="10"/>
  <c r="B326" i="10" s="1"/>
  <c r="C382" i="10"/>
  <c r="B382" i="10" s="1"/>
  <c r="C672" i="10"/>
  <c r="B672" i="10" s="1"/>
  <c r="D230" i="10"/>
  <c r="C4" i="10"/>
  <c r="B4" i="10" s="1"/>
  <c r="B1" i="10" s="1"/>
  <c r="C734" i="10"/>
  <c r="B734" i="10" s="1"/>
  <c r="C227" i="10"/>
  <c r="B227" i="10" s="1"/>
  <c r="C128" i="10"/>
  <c r="C791" i="10"/>
  <c r="B791" i="10" s="1"/>
  <c r="C440" i="10"/>
  <c r="B440" i="10" s="1"/>
  <c r="C334" i="10"/>
  <c r="B334" i="10" s="1"/>
  <c r="D172" i="10"/>
  <c r="D495" i="10"/>
  <c r="C89" i="10"/>
  <c r="C349" i="10"/>
  <c r="B349" i="10" s="1"/>
  <c r="C771" i="10"/>
  <c r="B771" i="10" s="1"/>
  <c r="C217" i="10"/>
  <c r="B217" i="10" s="1"/>
  <c r="C330" i="10"/>
  <c r="B330" i="10" s="1"/>
  <c r="D709" i="10"/>
  <c r="C288" i="10"/>
  <c r="B288" i="10" s="1"/>
  <c r="C243" i="10"/>
  <c r="B243" i="10" s="1"/>
  <c r="C6" i="10"/>
  <c r="C78" i="10"/>
  <c r="C476" i="10"/>
  <c r="B476" i="10" s="1"/>
  <c r="D546" i="10"/>
  <c r="D430" i="10"/>
  <c r="C242" i="10"/>
  <c r="B242" i="10" s="1"/>
  <c r="D35" i="10"/>
  <c r="C549" i="10"/>
  <c r="B549" i="10" s="1"/>
  <c r="D84" i="10"/>
  <c r="C624" i="10"/>
  <c r="B624" i="10" s="1"/>
  <c r="D280" i="10"/>
  <c r="C274" i="10"/>
  <c r="B274" i="10" s="1"/>
  <c r="C486" i="10"/>
  <c r="B486" i="10" s="1"/>
  <c r="C158" i="10"/>
  <c r="D116" i="10"/>
  <c r="C96" i="10"/>
  <c r="D305" i="10"/>
  <c r="D175" i="10"/>
  <c r="C79" i="10"/>
  <c r="D348" i="10"/>
  <c r="C763" i="10"/>
  <c r="B763" i="10" s="1"/>
  <c r="C372" i="10"/>
  <c r="B372" i="10" s="1"/>
  <c r="D577" i="10"/>
  <c r="C213" i="10"/>
  <c r="D451" i="10"/>
  <c r="D151" i="10"/>
  <c r="D578" i="10"/>
  <c r="C161" i="10"/>
  <c r="D326" i="11"/>
  <c r="C393" i="1"/>
  <c r="D327" i="11"/>
  <c r="D418" i="10" l="1"/>
  <c r="C567" i="10"/>
  <c r="B567" i="10" s="1"/>
  <c r="C345" i="10"/>
  <c r="B345" i="10" s="1"/>
  <c r="C449" i="10"/>
  <c r="B449" i="10" s="1"/>
  <c r="C529" i="10"/>
  <c r="B529" i="10" s="1"/>
  <c r="C696" i="10"/>
  <c r="B696" i="10" s="1"/>
  <c r="C324" i="10"/>
  <c r="B324" i="10" s="1"/>
  <c r="C774" i="10"/>
  <c r="B774" i="10" s="1"/>
  <c r="D258" i="10"/>
  <c r="C250" i="10"/>
  <c r="B250" i="10" s="1"/>
  <c r="C574" i="10"/>
  <c r="B574" i="10" s="1"/>
  <c r="C732" i="10"/>
  <c r="B732" i="10" s="1"/>
  <c r="D328" i="10"/>
  <c r="D142" i="10"/>
  <c r="C216" i="10"/>
  <c r="C502" i="10"/>
  <c r="B502" i="10" s="1"/>
  <c r="C479" i="10"/>
  <c r="B479" i="10" s="1"/>
  <c r="C83" i="10"/>
  <c r="C283" i="10"/>
  <c r="B283" i="10" s="1"/>
  <c r="C770" i="10"/>
  <c r="B770" i="10" s="1"/>
  <c r="D128" i="10"/>
  <c r="D694" i="10"/>
  <c r="D482" i="10"/>
  <c r="D342" i="10"/>
  <c r="D281" i="10"/>
  <c r="C736" i="10"/>
  <c r="B736" i="10" s="1"/>
  <c r="D601" i="10"/>
  <c r="D122" i="10"/>
  <c r="D695" i="10"/>
  <c r="C86" i="10"/>
  <c r="C654" i="10"/>
  <c r="B654" i="10" s="1"/>
  <c r="C362" i="10"/>
  <c r="B362" i="10" s="1"/>
  <c r="C602" i="10"/>
  <c r="B602" i="10" s="1"/>
  <c r="D610" i="10"/>
  <c r="C430" i="10"/>
  <c r="B430" i="10" s="1"/>
  <c r="D657" i="10"/>
  <c r="D727" i="10"/>
  <c r="D148" i="10"/>
  <c r="C751" i="10"/>
  <c r="B751" i="10" s="1"/>
  <c r="D25" i="10"/>
  <c r="C539" i="10"/>
  <c r="B539" i="10" s="1"/>
  <c r="D270" i="10"/>
  <c r="D163" i="10"/>
  <c r="C561" i="10"/>
  <c r="B561" i="10" s="1"/>
  <c r="D276" i="10"/>
  <c r="D723" i="10"/>
  <c r="D255" i="10"/>
  <c r="D6" i="10"/>
  <c r="D576" i="10"/>
  <c r="D711" i="10"/>
  <c r="C628" i="10"/>
  <c r="B628" i="10" s="1"/>
  <c r="C621" i="10"/>
  <c r="B621" i="10" s="1"/>
  <c r="D125" i="10"/>
  <c r="D739" i="10"/>
  <c r="C361" i="10"/>
  <c r="B361" i="10" s="1"/>
  <c r="C548" i="10"/>
  <c r="B548" i="10" s="1"/>
  <c r="C404" i="10"/>
  <c r="B404" i="10" s="1"/>
  <c r="C300" i="10"/>
  <c r="B300" i="10" s="1"/>
  <c r="D609" i="10"/>
  <c r="C563" i="10"/>
  <c r="B563" i="10" s="1"/>
  <c r="C515" i="10"/>
  <c r="B515" i="10" s="1"/>
  <c r="D519" i="10"/>
  <c r="D644" i="10"/>
  <c r="D248" i="10"/>
  <c r="C746" i="10"/>
  <c r="B746" i="10" s="1"/>
  <c r="D690" i="10"/>
  <c r="D477" i="10"/>
  <c r="D529" i="10"/>
  <c r="D191" i="10"/>
  <c r="D100" i="10"/>
  <c r="C801" i="10"/>
  <c r="B801" i="10" s="1"/>
  <c r="C640" i="10"/>
  <c r="B640" i="10" s="1"/>
  <c r="C547" i="10"/>
  <c r="B547" i="10" s="1"/>
  <c r="C80" i="10"/>
  <c r="D752" i="10"/>
  <c r="C564" i="10"/>
  <c r="B564" i="10" s="1"/>
  <c r="D761" i="10"/>
  <c r="C740" i="10"/>
  <c r="B740" i="10" s="1"/>
  <c r="D782" i="10"/>
  <c r="C69" i="10"/>
  <c r="C48" i="10"/>
  <c r="D364" i="10"/>
  <c r="D361" i="10"/>
  <c r="D646" i="10"/>
  <c r="C651" i="10"/>
  <c r="B651" i="10" s="1"/>
  <c r="D391" i="10"/>
  <c r="C271" i="10"/>
  <c r="B271" i="10" s="1"/>
  <c r="D392" i="10"/>
  <c r="C121" i="10"/>
  <c r="C305" i="10"/>
  <c r="B305" i="10" s="1"/>
  <c r="D168" i="10"/>
  <c r="D300" i="10"/>
  <c r="D272" i="10"/>
  <c r="D410" i="10"/>
  <c r="C507" i="10"/>
  <c r="B507" i="10" s="1"/>
  <c r="C252" i="10"/>
  <c r="B252" i="10" s="1"/>
  <c r="C727" i="10"/>
  <c r="B727" i="10" s="1"/>
  <c r="D90" i="10"/>
  <c r="C409" i="10"/>
  <c r="B409" i="10" s="1"/>
  <c r="C713" i="10"/>
  <c r="B713" i="10" s="1"/>
  <c r="C210" i="10"/>
  <c r="C546" i="10"/>
  <c r="B546" i="10" s="1"/>
  <c r="D143" i="10"/>
  <c r="D458" i="10"/>
  <c r="C263" i="10"/>
  <c r="B263" i="10" s="1"/>
  <c r="D385" i="10"/>
  <c r="C470" i="10"/>
  <c r="B470" i="10" s="1"/>
  <c r="D309" i="10"/>
  <c r="D294" i="10"/>
  <c r="C110" i="10"/>
  <c r="D580" i="10"/>
  <c r="D786" i="10"/>
  <c r="C338" i="10"/>
  <c r="B338" i="10" s="1"/>
  <c r="C623" i="10"/>
  <c r="B623" i="10" s="1"/>
  <c r="C526" i="10"/>
  <c r="B526" i="10" s="1"/>
  <c r="C565" i="10"/>
  <c r="B565" i="10" s="1"/>
  <c r="D758" i="10"/>
  <c r="D614" i="10"/>
  <c r="D150" i="10"/>
  <c r="D413" i="10"/>
  <c r="D509" i="10"/>
  <c r="C726" i="10"/>
  <c r="B726" i="10" s="1"/>
  <c r="C782" i="10"/>
  <c r="B782" i="10" s="1"/>
  <c r="D234" i="10"/>
  <c r="C201" i="10"/>
  <c r="D11" i="10"/>
  <c r="C493" i="10"/>
  <c r="B493" i="10" s="1"/>
  <c r="D663" i="10"/>
  <c r="D21" i="10"/>
  <c r="C590" i="10"/>
  <c r="B590" i="10" s="1"/>
  <c r="D510" i="10"/>
  <c r="D216" i="10"/>
  <c r="C269" i="10"/>
  <c r="B269" i="10" s="1"/>
  <c r="D367" i="10"/>
  <c r="C310" i="10"/>
  <c r="B310" i="10" s="1"/>
  <c r="D634" i="10"/>
  <c r="C505" i="10"/>
  <c r="B505" i="10" s="1"/>
  <c r="D282" i="10"/>
  <c r="C749" i="10"/>
  <c r="B749" i="10" s="1"/>
  <c r="D193" i="10"/>
  <c r="D10" i="10"/>
  <c r="D9" i="10"/>
  <c r="C366" i="10"/>
  <c r="B366" i="10" s="1"/>
  <c r="D637" i="10"/>
  <c r="D285" i="10"/>
  <c r="D686" i="10"/>
  <c r="D777" i="10"/>
  <c r="D572" i="10"/>
  <c r="D425" i="10"/>
  <c r="C494" i="10"/>
  <c r="B494" i="10" s="1"/>
  <c r="C717" i="10"/>
  <c r="B717" i="10" s="1"/>
  <c r="C685" i="10"/>
  <c r="B685" i="10" s="1"/>
  <c r="D200" i="10"/>
  <c r="D107" i="10"/>
  <c r="C757" i="10"/>
  <c r="B757" i="10" s="1"/>
  <c r="C723" i="10"/>
  <c r="B723" i="10" s="1"/>
  <c r="C244" i="10"/>
  <c r="B244" i="10" s="1"/>
  <c r="C460" i="10"/>
  <c r="B460" i="10" s="1"/>
  <c r="D678" i="10"/>
  <c r="D489" i="10"/>
  <c r="D764" i="10"/>
  <c r="C418" i="10"/>
  <c r="B418" i="10" s="1"/>
  <c r="D756" i="10"/>
  <c r="D92" i="10"/>
  <c r="D630" i="10"/>
  <c r="D363" i="10"/>
  <c r="D616" i="10"/>
  <c r="D52" i="10"/>
  <c r="C388" i="10"/>
  <c r="B388" i="10" s="1"/>
  <c r="C214" i="10"/>
  <c r="D158" i="10"/>
  <c r="D217" i="10"/>
  <c r="D485" i="10"/>
  <c r="D562" i="10"/>
  <c r="C322" i="10"/>
  <c r="B322" i="10" s="1"/>
  <c r="D240" i="10"/>
  <c r="C776" i="10"/>
  <c r="B776" i="10" s="1"/>
  <c r="C371" i="10"/>
  <c r="B371" i="10" s="1"/>
  <c r="D383" i="10"/>
  <c r="D315" i="10"/>
  <c r="D283" i="10"/>
  <c r="C73" i="10"/>
  <c r="D13" i="10"/>
  <c r="C513" i="10"/>
  <c r="B513" i="10" s="1"/>
  <c r="D407" i="10"/>
  <c r="C699" i="10"/>
  <c r="B699" i="10" s="1"/>
  <c r="D190" i="10"/>
  <c r="D397" i="10"/>
  <c r="D801" i="10"/>
  <c r="D135" i="10"/>
  <c r="C619" i="10"/>
  <c r="B619" i="10" s="1"/>
  <c r="C344" i="10"/>
  <c r="B344" i="10" s="1"/>
  <c r="D755" i="10"/>
  <c r="D459" i="10"/>
  <c r="D579" i="10"/>
  <c r="C304" i="10"/>
  <c r="B304" i="10" s="1"/>
  <c r="D585" i="10"/>
  <c r="D208" i="10"/>
  <c r="D541" i="10"/>
  <c r="C204" i="10"/>
  <c r="C343" i="10"/>
  <c r="B343" i="10" s="1"/>
  <c r="D250" i="10"/>
  <c r="D507" i="10"/>
  <c r="C280" i="10"/>
  <c r="B280" i="10" s="1"/>
  <c r="D33" i="10"/>
  <c r="C435" i="10"/>
  <c r="B435" i="10" s="1"/>
  <c r="C81" i="10"/>
  <c r="C312" i="10"/>
  <c r="B312" i="10" s="1"/>
  <c r="C674" i="10"/>
  <c r="B674" i="10" s="1"/>
  <c r="D89" i="10"/>
  <c r="D317" i="10"/>
  <c r="D231" i="10"/>
  <c r="C649" i="10"/>
  <c r="B649" i="10" s="1"/>
  <c r="D434" i="10"/>
  <c r="D86" i="10"/>
  <c r="D454" i="10"/>
  <c r="D112" i="10"/>
  <c r="D20" i="10"/>
  <c r="D219" i="10"/>
  <c r="D770" i="10"/>
  <c r="D552" i="10"/>
  <c r="D243" i="10"/>
  <c r="C229" i="10"/>
  <c r="B229" i="10" s="1"/>
  <c r="C712" i="10"/>
  <c r="B712" i="10" s="1"/>
  <c r="D433" i="10"/>
  <c r="D424" i="10"/>
  <c r="D237" i="10"/>
  <c r="C742" i="10"/>
  <c r="B742" i="10" s="1"/>
  <c r="C788" i="10"/>
  <c r="B788" i="10" s="1"/>
  <c r="D476" i="10"/>
  <c r="D48" i="10"/>
  <c r="C789" i="10"/>
  <c r="B789" i="10" s="1"/>
  <c r="D715" i="10"/>
  <c r="C273" i="10"/>
  <c r="B273" i="10" s="1"/>
  <c r="D488" i="10"/>
  <c r="D204" i="10"/>
  <c r="C752" i="10"/>
  <c r="B752" i="10" s="1"/>
  <c r="D389" i="10"/>
  <c r="D716" i="10"/>
  <c r="D436" i="10"/>
  <c r="C639" i="10"/>
  <c r="B639" i="10" s="1"/>
  <c r="D371" i="10"/>
  <c r="C609" i="10"/>
  <c r="B609" i="10" s="1"/>
  <c r="C75" i="10"/>
  <c r="C591" i="10"/>
  <c r="B591" i="10" s="1"/>
  <c r="C350" i="10"/>
  <c r="B350" i="10" s="1"/>
  <c r="C233" i="10"/>
  <c r="B233" i="10" s="1"/>
  <c r="C142" i="10"/>
  <c r="C689" i="10"/>
  <c r="B689" i="10" s="1"/>
  <c r="C793" i="10"/>
  <c r="B793" i="10" s="1"/>
  <c r="C68" i="10"/>
  <c r="C700" i="10"/>
  <c r="B700" i="10" s="1"/>
  <c r="C258" i="10"/>
  <c r="B258" i="10" s="1"/>
  <c r="D51" i="10"/>
  <c r="D161" i="10"/>
  <c r="D611" i="10"/>
  <c r="C397" i="10"/>
  <c r="B397" i="10" s="1"/>
  <c r="D487" i="10"/>
  <c r="C627" i="10"/>
  <c r="B627" i="10" s="1"/>
  <c r="C605" i="10"/>
  <c r="B605" i="10" s="1"/>
  <c r="C407" i="10"/>
  <c r="B407" i="10" s="1"/>
  <c r="D298" i="10"/>
  <c r="D537" i="10"/>
  <c r="D449" i="10"/>
  <c r="D762" i="10"/>
  <c r="D333" i="10"/>
  <c r="C425" i="10"/>
  <c r="B425" i="10" s="1"/>
  <c r="C511" i="10"/>
  <c r="B511" i="10" s="1"/>
  <c r="C559" i="10"/>
  <c r="B559" i="10" s="1"/>
  <c r="D409" i="10"/>
  <c r="C772" i="10"/>
  <c r="B772" i="10" s="1"/>
  <c r="C417" i="10"/>
  <c r="B417" i="10" s="1"/>
  <c r="D245" i="10"/>
  <c r="C52" i="10"/>
  <c r="D182" i="10"/>
  <c r="D12" i="10"/>
  <c r="D557" i="10"/>
  <c r="D91" i="10"/>
  <c r="D441" i="10"/>
  <c r="C779" i="10"/>
  <c r="B779" i="10" s="1"/>
  <c r="D4" i="10"/>
  <c r="C293" i="10"/>
  <c r="B293" i="10" s="1"/>
  <c r="C400" i="10"/>
  <c r="B400" i="10" s="1"/>
  <c r="C636" i="10"/>
  <c r="B636" i="10" s="1"/>
  <c r="D154" i="10"/>
  <c r="C692" i="10"/>
  <c r="B692" i="10" s="1"/>
  <c r="D137" i="10"/>
  <c r="D787" i="10"/>
  <c r="C503" i="10"/>
  <c r="B503" i="10" s="1"/>
  <c r="C606" i="10"/>
  <c r="B606" i="10" s="1"/>
  <c r="D244" i="10"/>
  <c r="C85" i="10"/>
  <c r="C351" i="10"/>
  <c r="B351" i="10" s="1"/>
  <c r="D688" i="10"/>
  <c r="D329" i="10"/>
  <c r="D658" i="10"/>
  <c r="D319" i="10"/>
  <c r="C478" i="10"/>
  <c r="B478" i="10" s="1"/>
  <c r="D793" i="10"/>
  <c r="C707" i="10"/>
  <c r="B707" i="10" s="1"/>
  <c r="C383" i="10"/>
  <c r="B383" i="10" s="1"/>
  <c r="D558" i="10"/>
  <c r="C149" i="10"/>
  <c r="C291" i="10"/>
  <c r="B291" i="10" s="1"/>
  <c r="D7" i="10"/>
  <c r="C212" i="10"/>
  <c r="C762" i="10"/>
  <c r="B762" i="10" s="1"/>
  <c r="D198" i="10"/>
  <c r="D271" i="10"/>
  <c r="C481" i="10"/>
  <c r="B481" i="10" s="1"/>
  <c r="C307" i="10"/>
  <c r="B307" i="10" s="1"/>
  <c r="C573" i="10"/>
  <c r="B573" i="10" s="1"/>
  <c r="D247" i="10"/>
  <c r="D548" i="10"/>
  <c r="D800" i="10"/>
  <c r="D267" i="10"/>
  <c r="D670" i="10"/>
  <c r="D346" i="10"/>
  <c r="C679" i="10"/>
  <c r="B679" i="10" s="1"/>
  <c r="C467" i="10"/>
  <c r="B467" i="10" s="1"/>
  <c r="D474" i="10"/>
  <c r="C545" i="10"/>
  <c r="B545" i="10" s="1"/>
  <c r="D416" i="10"/>
  <c r="D674" i="10"/>
  <c r="D224" i="10"/>
  <c r="D57" i="10"/>
  <c r="D299" i="10"/>
  <c r="C130" i="10"/>
  <c r="C650" i="10"/>
  <c r="B650" i="10" s="1"/>
  <c r="C276" i="10"/>
  <c r="B276" i="10" s="1"/>
  <c r="D494" i="10"/>
  <c r="D179" i="10"/>
  <c r="C764" i="10"/>
  <c r="B764" i="10" s="1"/>
  <c r="D278" i="10"/>
  <c r="C265" i="10"/>
  <c r="B265" i="10" s="1"/>
  <c r="D628" i="10"/>
  <c r="C113" i="10"/>
  <c r="D465" i="10"/>
  <c r="D359" i="10"/>
  <c r="C761" i="10"/>
  <c r="B761" i="10" s="1"/>
  <c r="D698" i="10"/>
  <c r="D795" i="10"/>
  <c r="C552" i="10"/>
  <c r="B552" i="10" s="1"/>
  <c r="D520" i="10"/>
  <c r="C543" i="10"/>
  <c r="B543" i="10" s="1"/>
  <c r="C620" i="10"/>
  <c r="B620" i="10" s="1"/>
  <c r="D790" i="10"/>
  <c r="C490" i="10"/>
  <c r="B490" i="10" s="1"/>
  <c r="D543" i="10"/>
  <c r="C593" i="10"/>
  <c r="B593" i="10" s="1"/>
  <c r="D769" i="10"/>
  <c r="D631" i="10"/>
  <c r="C357" i="10"/>
  <c r="B357" i="10" s="1"/>
  <c r="C160" i="10"/>
  <c r="D62" i="10"/>
  <c r="C59" i="10"/>
  <c r="C285" i="10"/>
  <c r="B285" i="10" s="1"/>
  <c r="C436" i="10"/>
  <c r="B436" i="10" s="1"/>
  <c r="C65" i="10"/>
  <c r="C544" i="10"/>
  <c r="B544" i="10" s="1"/>
  <c r="C91" i="10"/>
  <c r="C550" i="10"/>
  <c r="B550" i="10" s="1"/>
  <c r="C220" i="10"/>
  <c r="B220" i="10" s="1"/>
  <c r="D470" i="10"/>
  <c r="D491" i="10"/>
  <c r="D475" i="10"/>
  <c r="C452" i="10"/>
  <c r="B452" i="10" s="1"/>
  <c r="D104" i="10"/>
  <c r="C145" i="10"/>
  <c r="C616" i="10"/>
  <c r="B616" i="10" s="1"/>
  <c r="C433" i="10"/>
  <c r="B433" i="10" s="1"/>
  <c r="D461" i="10"/>
  <c r="D699" i="10"/>
  <c r="D748" i="10"/>
  <c r="D767" i="10"/>
  <c r="C62" i="10"/>
  <c r="D594" i="10"/>
  <c r="C739" i="10"/>
  <c r="B739" i="10" s="1"/>
  <c r="D146" i="10"/>
  <c r="D28" i="10"/>
  <c r="D423" i="10"/>
  <c r="C527" i="10"/>
  <c r="B527" i="10" s="1"/>
  <c r="C501" i="10"/>
  <c r="B501" i="10" s="1"/>
  <c r="D684" i="10"/>
  <c r="C129" i="10"/>
  <c r="D262" i="10"/>
  <c r="D120" i="10"/>
  <c r="D65" i="10"/>
  <c r="C687" i="10"/>
  <c r="B687" i="10" s="1"/>
  <c r="D513" i="10"/>
  <c r="C157" i="10"/>
  <c r="C223" i="10"/>
  <c r="B223" i="10" s="1"/>
  <c r="C66" i="10"/>
  <c r="C260" i="10"/>
  <c r="B260" i="10" s="1"/>
  <c r="C695" i="10"/>
  <c r="B695" i="10" s="1"/>
  <c r="C659" i="10"/>
  <c r="B659" i="10" s="1"/>
  <c r="C637" i="10"/>
  <c r="B637" i="10" s="1"/>
  <c r="C678" i="10"/>
  <c r="B678" i="10" s="1"/>
  <c r="C368" i="10"/>
  <c r="B368" i="10" s="1"/>
  <c r="C786" i="10"/>
  <c r="B786" i="10" s="1"/>
  <c r="D42" i="10"/>
  <c r="C610" i="10"/>
  <c r="B610" i="10" s="1"/>
  <c r="C125" i="10"/>
  <c r="D583" i="10"/>
  <c r="C600" i="10"/>
  <c r="B600" i="10" s="1"/>
  <c r="C152" i="10"/>
  <c r="D452" i="10"/>
  <c r="D713" i="10"/>
  <c r="D571" i="10"/>
  <c r="D589" i="10"/>
  <c r="C412" i="10"/>
  <c r="B412" i="10" s="1"/>
  <c r="C359" i="10"/>
  <c r="B359" i="10" s="1"/>
  <c r="D145" i="10"/>
  <c r="C131" i="10"/>
  <c r="D707" i="10"/>
  <c r="C43" i="10"/>
  <c r="D538" i="10"/>
  <c r="D387" i="10"/>
  <c r="D604" i="10"/>
  <c r="D448" i="10"/>
  <c r="D596" i="10"/>
  <c r="D736" i="10"/>
  <c r="C391" i="10"/>
  <c r="B391" i="10" s="1"/>
  <c r="D412" i="10"/>
  <c r="D518" i="10"/>
  <c r="D113" i="10"/>
  <c r="D165" i="10"/>
  <c r="D343" i="10"/>
  <c r="D740" i="10"/>
  <c r="C730" i="10"/>
  <c r="B730" i="10" s="1"/>
  <c r="C423" i="10"/>
  <c r="B423" i="10" s="1"/>
  <c r="C445" i="10"/>
  <c r="B445" i="10" s="1"/>
  <c r="D73" i="10"/>
  <c r="D472" i="10"/>
  <c r="C498" i="10"/>
  <c r="B498" i="10" s="1"/>
  <c r="D429" i="10"/>
  <c r="D336" i="10"/>
  <c r="D345" i="10"/>
  <c r="C465" i="10"/>
  <c r="B465" i="10" s="1"/>
  <c r="D152" i="10"/>
  <c r="D40" i="10"/>
  <c r="C57" i="10"/>
  <c r="D521" i="10"/>
  <c r="D196" i="10"/>
  <c r="C472" i="10"/>
  <c r="B472" i="10" s="1"/>
  <c r="C787" i="10"/>
  <c r="B787" i="10" s="1"/>
  <c r="D171" i="10"/>
  <c r="D567" i="10"/>
  <c r="C60" i="10"/>
  <c r="C520" i="10"/>
  <c r="B520" i="10" s="1"/>
  <c r="D110" i="10"/>
  <c r="D751" i="10"/>
  <c r="C444" i="10"/>
  <c r="B444" i="10" s="1"/>
  <c r="C410" i="10"/>
  <c r="B410" i="10" s="1"/>
  <c r="C487" i="10"/>
  <c r="B487" i="10" s="1"/>
  <c r="C765" i="10"/>
  <c r="B765" i="10" s="1"/>
  <c r="D5" i="10"/>
  <c r="D662" i="10"/>
  <c r="C127" i="10"/>
  <c r="C226" i="10"/>
  <c r="B226" i="10" s="1"/>
  <c r="D226" i="10"/>
  <c r="C738" i="10"/>
  <c r="B738" i="10" s="1"/>
  <c r="C211" i="10"/>
  <c r="C434" i="10"/>
  <c r="B434" i="10" s="1"/>
  <c r="D659" i="10"/>
  <c r="C123" i="10"/>
  <c r="D188" i="10"/>
  <c r="C328" i="10"/>
  <c r="B328" i="10" s="1"/>
  <c r="D82" i="10"/>
  <c r="D334" i="10"/>
  <c r="C379" i="10"/>
  <c r="B379" i="10" s="1"/>
  <c r="C634" i="10"/>
  <c r="B634" i="10" s="1"/>
  <c r="D374" i="10"/>
  <c r="C530" i="10"/>
  <c r="B530" i="10" s="1"/>
  <c r="D411" i="10"/>
  <c r="D532" i="10"/>
  <c r="D621" i="10"/>
  <c r="D584" i="10"/>
  <c r="D186" i="10"/>
  <c r="D390" i="10"/>
  <c r="C320" i="10"/>
  <c r="B320" i="10" s="1"/>
  <c r="D642" i="10"/>
  <c r="D560" i="10"/>
  <c r="D75" i="10"/>
  <c r="D661" i="10"/>
  <c r="C354" i="10"/>
  <c r="B354" i="10" s="1"/>
  <c r="C597" i="10"/>
  <c r="B597" i="10" s="1"/>
  <c r="C554" i="10"/>
  <c r="B554" i="10" s="1"/>
  <c r="C783" i="10"/>
  <c r="B783" i="10" s="1"/>
  <c r="C377" i="10"/>
  <c r="B377" i="10" s="1"/>
  <c r="C618" i="10"/>
  <c r="B618" i="10" s="1"/>
  <c r="C743" i="10"/>
  <c r="B743" i="10" s="1"/>
  <c r="C469" i="10"/>
  <c r="B469" i="10" s="1"/>
  <c r="D357" i="10"/>
  <c r="C421" i="10"/>
  <c r="B421" i="10" s="1"/>
  <c r="D174" i="10"/>
  <c r="D235" i="10"/>
  <c r="C104" i="10"/>
  <c r="D679" i="10"/>
  <c r="D440" i="10"/>
  <c r="C715" i="10"/>
  <c r="B715" i="10" s="1"/>
  <c r="D207" i="10"/>
  <c r="C302" i="10"/>
  <c r="B302" i="10" s="1"/>
  <c r="D81" i="10"/>
  <c r="D166" i="10"/>
  <c r="D719" i="10"/>
  <c r="D753" i="10"/>
  <c r="D64" i="10"/>
  <c r="D664" i="10"/>
  <c r="C240" i="10"/>
  <c r="B240" i="10" s="1"/>
  <c r="D612" i="10"/>
  <c r="D274" i="10"/>
  <c r="D617" i="10"/>
  <c r="C108" i="10"/>
  <c r="D136" i="10"/>
  <c r="D687" i="10"/>
  <c r="C641" i="10"/>
  <c r="B641" i="10" s="1"/>
  <c r="C207" i="10"/>
  <c r="D524" i="10"/>
  <c r="C580" i="10"/>
  <c r="B580" i="10" s="1"/>
  <c r="D341" i="10"/>
  <c r="C399" i="10"/>
  <c r="B399" i="10" s="1"/>
  <c r="C577" i="10"/>
  <c r="B577" i="10" s="1"/>
  <c r="C205" i="10"/>
  <c r="D478" i="10"/>
  <c r="D745" i="10"/>
  <c r="C581" i="10"/>
  <c r="B581" i="10" s="1"/>
  <c r="D277" i="10"/>
  <c r="D83" i="10"/>
  <c r="D788" i="10"/>
  <c r="C631" i="10"/>
  <c r="B631" i="10" s="1"/>
  <c r="C289" i="10"/>
  <c r="B289" i="10" s="1"/>
  <c r="D779" i="10"/>
  <c r="D647" i="10"/>
  <c r="C485" i="10"/>
  <c r="B485" i="10" s="1"/>
  <c r="D225" i="10"/>
  <c r="D291" i="10"/>
  <c r="D754" i="10"/>
  <c r="C516" i="10"/>
  <c r="B516" i="10" s="1"/>
  <c r="C438" i="10"/>
  <c r="B438" i="10" s="1"/>
  <c r="D124" i="10"/>
  <c r="C495" i="10"/>
  <c r="B495" i="10" s="1"/>
  <c r="D689" i="10"/>
  <c r="D784" i="10"/>
  <c r="C416" i="10"/>
  <c r="B416" i="10" s="1"/>
  <c r="C741" i="10"/>
  <c r="B741" i="10" s="1"/>
  <c r="C558" i="10"/>
  <c r="B558" i="10" s="1"/>
  <c r="D531" i="10"/>
  <c r="D735" i="10"/>
  <c r="C340" i="10"/>
  <c r="B340" i="10" s="1"/>
  <c r="C107" i="10"/>
  <c r="D253" i="10"/>
  <c r="C681" i="10"/>
  <c r="B681" i="10" s="1"/>
  <c r="C673" i="10"/>
  <c r="B673" i="10" s="1"/>
  <c r="C267" i="10"/>
  <c r="B267" i="10" s="1"/>
  <c r="D641" i="10"/>
  <c r="C309" i="10"/>
  <c r="B309" i="10" s="1"/>
  <c r="D38" i="10"/>
  <c r="C473" i="10"/>
  <c r="B473" i="10" s="1"/>
  <c r="C82" i="10"/>
  <c r="D540" i="10"/>
  <c r="D768" i="10"/>
  <c r="C375" i="10"/>
  <c r="B375" i="10" s="1"/>
  <c r="C647" i="10"/>
  <c r="B647" i="10" s="1"/>
  <c r="D85" i="10"/>
  <c r="D66" i="10"/>
  <c r="C463" i="10"/>
  <c r="B463" i="10" s="1"/>
  <c r="C555" i="10"/>
  <c r="B555" i="10" s="1"/>
  <c r="C259" i="10"/>
  <c r="B259" i="10" s="1"/>
  <c r="C134" i="10"/>
  <c r="C794" i="10"/>
  <c r="B794" i="10" s="1"/>
  <c r="C706" i="10"/>
  <c r="B706" i="10" s="1"/>
  <c r="C333" i="10"/>
  <c r="B333" i="10" s="1"/>
  <c r="D497" i="10"/>
  <c r="D797" i="10"/>
  <c r="C119" i="10"/>
  <c r="C70" i="10"/>
  <c r="D170" i="10"/>
  <c r="C221" i="10"/>
  <c r="B221" i="10" s="1"/>
  <c r="D386" i="10"/>
  <c r="D523" i="10"/>
  <c r="D791" i="10"/>
  <c r="C614" i="10"/>
  <c r="B614" i="10" s="1"/>
  <c r="D700" i="10"/>
  <c r="D203" i="10"/>
  <c r="D582" i="10"/>
  <c r="D703" i="10"/>
  <c r="D301" i="10"/>
  <c r="C688" i="10"/>
  <c r="B688" i="10" s="1"/>
  <c r="D669" i="10"/>
  <c r="D205" i="10"/>
  <c r="C586" i="10"/>
  <c r="B586" i="10" s="1"/>
  <c r="D632" i="10"/>
  <c r="D593" i="10"/>
  <c r="C278" i="10"/>
  <c r="B278" i="10" s="1"/>
  <c r="D636" i="10"/>
  <c r="C799" i="10"/>
  <c r="B799" i="10" s="1"/>
  <c r="D741" i="10"/>
  <c r="C270" i="10"/>
  <c r="B270" i="10" s="1"/>
  <c r="C716" i="10"/>
  <c r="B716" i="10" s="1"/>
  <c r="C56" i="10"/>
  <c r="C585" i="10"/>
  <c r="B585" i="10" s="1"/>
  <c r="D450" i="10"/>
  <c r="C393" i="10"/>
  <c r="B393" i="10" s="1"/>
  <c r="C155" i="10"/>
  <c r="D652" i="10"/>
  <c r="C798" i="10"/>
  <c r="B798" i="10" s="1"/>
  <c r="D109" i="10"/>
  <c r="D603" i="10"/>
  <c r="C389" i="10"/>
  <c r="B389" i="10" s="1"/>
  <c r="D26" i="10"/>
  <c r="C413" i="10"/>
  <c r="B413" i="10" s="1"/>
  <c r="D295" i="10"/>
  <c r="D555" i="10"/>
  <c r="C710" i="10"/>
  <c r="B710" i="10" s="1"/>
  <c r="D108" i="10"/>
  <c r="D625" i="10"/>
  <c r="C447" i="10"/>
  <c r="B447" i="10" s="1"/>
  <c r="D403" i="10"/>
  <c r="D162" i="10"/>
  <c r="C348" i="10"/>
  <c r="B348" i="10" s="1"/>
  <c r="C451" i="10"/>
  <c r="B451" i="10" s="1"/>
  <c r="C7" i="10"/>
  <c r="C518" i="10"/>
  <c r="B518" i="10" s="1"/>
  <c r="D530" i="10"/>
  <c r="C536" i="10"/>
  <c r="B536" i="10" s="1"/>
  <c r="D375" i="10"/>
  <c r="C411" i="10"/>
  <c r="B411" i="10" s="1"/>
  <c r="D502" i="10"/>
  <c r="D608" i="10"/>
  <c r="D17" i="10"/>
  <c r="C566" i="10"/>
  <c r="B566" i="10" s="1"/>
  <c r="D481" i="10"/>
  <c r="D173" i="10"/>
  <c r="D573" i="10"/>
  <c r="C477" i="10"/>
  <c r="B477" i="10" s="1"/>
  <c r="D401" i="10"/>
  <c r="C656" i="10"/>
  <c r="B656" i="10" s="1"/>
  <c r="C510" i="10"/>
  <c r="B510" i="10" s="1"/>
  <c r="D139" i="10"/>
  <c r="D622" i="10"/>
  <c r="D199" i="10"/>
  <c r="C94" i="10"/>
  <c r="D96" i="10"/>
  <c r="C572" i="10"/>
  <c r="B572" i="10" s="1"/>
  <c r="C308" i="10"/>
  <c r="B308" i="10" s="1"/>
  <c r="C642" i="10"/>
  <c r="B642" i="10" s="1"/>
  <c r="C203" i="10"/>
  <c r="C660" i="10"/>
  <c r="B660" i="10" s="1"/>
  <c r="C537" i="10"/>
  <c r="B537" i="10" s="1"/>
  <c r="D780" i="10"/>
  <c r="D484" i="10"/>
  <c r="D725" i="10"/>
  <c r="C588" i="10"/>
  <c r="B588" i="10" s="1"/>
  <c r="D264" i="10"/>
  <c r="D164" i="10"/>
  <c r="D759" i="10"/>
  <c r="C646" i="10"/>
  <c r="B646" i="10" s="1"/>
  <c r="C298" i="10"/>
  <c r="B298" i="10" s="1"/>
  <c r="C325" i="10"/>
  <c r="B325" i="10" s="1"/>
  <c r="D241" i="10"/>
  <c r="C431" i="10"/>
  <c r="B431" i="10" s="1"/>
  <c r="D525" i="10"/>
  <c r="D587" i="10"/>
  <c r="D798" i="10"/>
  <c r="C719" i="10"/>
  <c r="B719" i="10" s="1"/>
  <c r="C722" i="10"/>
  <c r="B722" i="10" s="1"/>
  <c r="D528" i="10"/>
  <c r="C224" i="10"/>
  <c r="B224" i="10" s="1"/>
  <c r="D607" i="10"/>
  <c r="C531" i="10"/>
  <c r="B531" i="10" s="1"/>
  <c r="C54" i="10"/>
  <c r="D732" i="10"/>
  <c r="D129" i="10"/>
  <c r="C729" i="10"/>
  <c r="B729" i="10" s="1"/>
  <c r="D215" i="10"/>
  <c r="C151" i="10"/>
  <c r="D693" i="10"/>
  <c r="C268" i="10"/>
  <c r="B268" i="10" s="1"/>
  <c r="D16" i="10"/>
  <c r="C255" i="10"/>
  <c r="B255" i="10" s="1"/>
  <c r="D53" i="10"/>
  <c r="C95" i="10"/>
  <c r="C420" i="10"/>
  <c r="B420" i="10" s="1"/>
  <c r="D619" i="10"/>
  <c r="D399" i="10"/>
  <c r="C92" i="10"/>
  <c r="D167" i="10"/>
  <c r="D39" i="10"/>
  <c r="D254" i="10"/>
  <c r="C514" i="10"/>
  <c r="B514" i="10" s="1"/>
  <c r="C750" i="10"/>
  <c r="B750" i="10" s="1"/>
  <c r="D303" i="10"/>
  <c r="D206" i="10"/>
  <c r="D32" i="10"/>
  <c r="C708" i="10"/>
  <c r="B708" i="10" s="1"/>
  <c r="C100" i="10"/>
  <c r="C319" i="10"/>
  <c r="B319" i="10" s="1"/>
  <c r="D46" i="10"/>
  <c r="C141" i="10"/>
  <c r="D673" i="10"/>
  <c r="C667" i="10"/>
  <c r="B667" i="10" s="1"/>
  <c r="C439" i="10"/>
  <c r="B439" i="10" s="1"/>
  <c r="D551" i="10"/>
  <c r="C245" i="10"/>
  <c r="B245" i="10" s="1"/>
  <c r="D304" i="10"/>
  <c r="D656" i="10"/>
  <c r="C230" i="10"/>
  <c r="B230" i="10" s="1"/>
  <c r="D504" i="10"/>
  <c r="D712" i="10"/>
  <c r="D286" i="10"/>
  <c r="C63" i="10"/>
  <c r="C290" i="10"/>
  <c r="B290" i="10" s="1"/>
  <c r="D222" i="10"/>
  <c r="C339" i="10"/>
  <c r="B339" i="10" s="1"/>
  <c r="C84" i="10"/>
  <c r="C491" i="10"/>
  <c r="B491" i="10" s="1"/>
  <c r="D586" i="10"/>
  <c r="D602" i="10"/>
  <c r="C247" i="10"/>
  <c r="B247" i="10" s="1"/>
  <c r="C691" i="10"/>
  <c r="B691" i="10" s="1"/>
  <c r="D533" i="10"/>
  <c r="D259" i="10"/>
  <c r="C703" i="10"/>
  <c r="B703" i="10" s="1"/>
  <c r="D624" i="10"/>
  <c r="D536" i="10"/>
  <c r="C58" i="10"/>
  <c r="D349" i="10"/>
  <c r="D210" i="10"/>
  <c r="D58" i="10"/>
  <c r="D676" i="10"/>
  <c r="D566" i="10"/>
  <c r="C677" i="10"/>
  <c r="B677" i="10" s="1"/>
  <c r="C137" i="10"/>
  <c r="C560" i="10"/>
  <c r="B560" i="10" s="1"/>
  <c r="D428" i="10"/>
  <c r="D722" i="10"/>
  <c r="C251" i="10"/>
  <c r="B251" i="10" s="1"/>
  <c r="C419" i="10"/>
  <c r="B419" i="10" s="1"/>
  <c r="C415" i="10"/>
  <c r="B415" i="10" s="1"/>
  <c r="C67" i="10"/>
  <c r="C711" i="10"/>
  <c r="B711" i="10" s="1"/>
  <c r="C246" i="10"/>
  <c r="B246" i="10" s="1"/>
  <c r="D692" i="10"/>
  <c r="D771" i="10"/>
  <c r="C579" i="10"/>
  <c r="B579" i="10" s="1"/>
  <c r="D290" i="10"/>
  <c r="D337" i="10"/>
  <c r="C599" i="10"/>
  <c r="B599" i="10" s="1"/>
  <c r="D98" i="10"/>
  <c r="D257" i="10"/>
  <c r="D499" i="10"/>
  <c r="D372" i="10"/>
  <c r="C506" i="10"/>
  <c r="B506" i="10" s="1"/>
  <c r="D444" i="10"/>
  <c r="C661" i="10"/>
  <c r="B661" i="10" s="1"/>
  <c r="D639" i="10"/>
  <c r="D729" i="10"/>
  <c r="D362" i="10"/>
  <c r="D27" i="10"/>
  <c r="C694" i="10"/>
  <c r="B694" i="10" s="1"/>
  <c r="C462" i="10"/>
  <c r="B462" i="10" s="1"/>
  <c r="C735" i="10"/>
  <c r="B735" i="10" s="1"/>
  <c r="C279" i="10"/>
  <c r="B279" i="10" s="1"/>
  <c r="C384" i="10"/>
  <c r="B384" i="10" s="1"/>
  <c r="C275" i="10"/>
  <c r="B275" i="10" s="1"/>
  <c r="C313" i="10"/>
  <c r="B313" i="10" s="1"/>
  <c r="C568" i="10"/>
  <c r="B568" i="10" s="1"/>
  <c r="D263" i="10"/>
  <c r="C754" i="10"/>
  <c r="B754" i="10" s="1"/>
  <c r="D535" i="10"/>
  <c r="D37" i="10"/>
  <c r="C238" i="10"/>
  <c r="B238" i="10" s="1"/>
  <c r="D404" i="10"/>
  <c r="D648" i="10"/>
  <c r="D238" i="10"/>
  <c r="C297" i="10"/>
  <c r="B297" i="10" s="1"/>
  <c r="C721" i="10"/>
  <c r="B721" i="10" s="1"/>
  <c r="D605" i="10"/>
  <c r="C626" i="10"/>
  <c r="B626" i="10" s="1"/>
  <c r="C775" i="10"/>
  <c r="B775" i="10" s="1"/>
  <c r="C314" i="10"/>
  <c r="B314" i="10" s="1"/>
  <c r="D121" i="10"/>
  <c r="D159" i="10"/>
  <c r="C390" i="10"/>
  <c r="B390" i="10" s="1"/>
  <c r="C611" i="10"/>
  <c r="B611" i="10" s="1"/>
  <c r="C517" i="10"/>
  <c r="B517" i="10" s="1"/>
  <c r="C607" i="10"/>
  <c r="B607" i="10" s="1"/>
  <c r="C525" i="10"/>
  <c r="B525" i="10" s="1"/>
  <c r="D103" i="10"/>
  <c r="D396" i="10"/>
  <c r="D570" i="10"/>
  <c r="D70" i="10"/>
  <c r="D660" i="10"/>
  <c r="D18" i="10"/>
  <c r="D242" i="10"/>
  <c r="D260" i="10"/>
  <c r="C118" i="10"/>
  <c r="D256" i="10"/>
  <c r="C87" i="10"/>
  <c r="C222" i="10"/>
  <c r="B222" i="10" s="1"/>
  <c r="C468" i="10"/>
  <c r="B468" i="10" s="1"/>
  <c r="C261" i="10"/>
  <c r="B261" i="10" s="1"/>
  <c r="D147" i="10"/>
  <c r="D681" i="10"/>
  <c r="D50" i="10"/>
  <c r="C394" i="10"/>
  <c r="B394" i="10" s="1"/>
  <c r="C598" i="10"/>
  <c r="B598" i="10" s="1"/>
  <c r="C437" i="10"/>
  <c r="B437" i="10" s="1"/>
  <c r="C202" i="10"/>
  <c r="D22" i="10"/>
  <c r="D776" i="10"/>
  <c r="D15" i="10"/>
  <c r="C522" i="10"/>
  <c r="B522" i="10" s="1"/>
  <c r="D187" i="10"/>
  <c r="D189" i="10"/>
  <c r="C315" i="10"/>
  <c r="B315" i="10" s="1"/>
  <c r="C496" i="10"/>
  <c r="B496" i="10" s="1"/>
  <c r="C671" i="10"/>
  <c r="B671" i="10" s="1"/>
  <c r="D185" i="10"/>
  <c r="D455" i="10"/>
  <c r="D598" i="10"/>
  <c r="D292" i="10"/>
  <c r="D183" i="10"/>
  <c r="C684" i="10"/>
  <c r="B684" i="10" s="1"/>
  <c r="C405" i="10"/>
  <c r="B405" i="10" s="1"/>
  <c r="D783" i="10"/>
  <c r="C432" i="10"/>
  <c r="B432" i="10" s="1"/>
  <c r="D649" i="10"/>
  <c r="D749" i="10"/>
  <c r="D338" i="10"/>
  <c r="D8" i="10"/>
  <c r="C693" i="10"/>
  <c r="B693" i="10" s="1"/>
  <c r="D705" i="10"/>
  <c r="D466" i="10"/>
  <c r="D297" i="10"/>
  <c r="D672" i="10"/>
  <c r="D366" i="10"/>
  <c r="D261" i="10"/>
  <c r="C71" i="10"/>
  <c r="D133" i="10"/>
  <c r="D654" i="10"/>
  <c r="D212" i="10"/>
  <c r="C218" i="10"/>
  <c r="B218" i="10" s="1"/>
  <c r="D157" i="10"/>
  <c r="C524" i="10"/>
  <c r="B524" i="10" s="1"/>
  <c r="D325" i="10"/>
  <c r="C508" i="10"/>
  <c r="B508" i="10" s="1"/>
  <c r="D710" i="10"/>
  <c r="D153" i="10"/>
  <c r="D427" i="10"/>
  <c r="D503" i="10"/>
  <c r="C428" i="10"/>
  <c r="B428" i="10" s="1"/>
  <c r="C139" i="10"/>
  <c r="D517" i="10"/>
  <c r="D559" i="10"/>
  <c r="D563" i="10"/>
  <c r="C622" i="10"/>
  <c r="B622" i="10" s="1"/>
  <c r="D717" i="10"/>
  <c r="D462" i="10"/>
  <c r="D353" i="10"/>
  <c r="C422" i="10"/>
  <c r="B422" i="10" s="1"/>
  <c r="C46" i="10"/>
  <c r="D706" i="10"/>
  <c r="C386" i="10"/>
  <c r="B386" i="10" s="1"/>
  <c r="D94" i="10"/>
  <c r="D144" i="10"/>
  <c r="D23" i="10"/>
  <c r="D76" i="10"/>
  <c r="D316" i="10"/>
  <c r="C633" i="10"/>
  <c r="B633" i="10" s="1"/>
  <c r="C675" i="10"/>
  <c r="B675" i="10" s="1"/>
  <c r="D102" i="10"/>
  <c r="D269" i="10"/>
  <c r="D313" i="10"/>
  <c r="C329" i="10"/>
  <c r="B329" i="10" s="1"/>
  <c r="D377" i="10"/>
  <c r="D19" i="10"/>
  <c r="C72" i="10"/>
  <c r="C64" i="10"/>
  <c r="D232" i="10"/>
  <c r="D595" i="10"/>
  <c r="C448" i="10"/>
  <c r="B448" i="10" s="1"/>
  <c r="C111" i="10"/>
  <c r="C690" i="10"/>
  <c r="B690" i="10" s="1"/>
  <c r="C105" i="10"/>
  <c r="D69" i="10"/>
  <c r="C427" i="10"/>
  <c r="B427" i="10" s="1"/>
  <c r="C615" i="10"/>
  <c r="B615" i="10" s="1"/>
  <c r="C492" i="10"/>
  <c r="B492" i="10" s="1"/>
  <c r="C760" i="10"/>
  <c r="B760" i="10" s="1"/>
  <c r="D437" i="10"/>
  <c r="C136" i="10"/>
  <c r="C556" i="10"/>
  <c r="B556" i="10" s="1"/>
  <c r="D61" i="10"/>
  <c r="C570" i="10"/>
  <c r="B570" i="10" s="1"/>
  <c r="C443" i="10"/>
  <c r="B443" i="10" s="1"/>
  <c r="D486" i="10"/>
  <c r="D463" i="10"/>
  <c r="D460" i="10"/>
  <c r="C287" i="10"/>
  <c r="B287" i="10" s="1"/>
  <c r="C756" i="10"/>
  <c r="B756" i="10" s="1"/>
  <c r="D156" i="10"/>
  <c r="D400" i="10"/>
  <c r="D522" i="10"/>
  <c r="D279" i="10"/>
  <c r="D720" i="10"/>
  <c r="D330" i="10"/>
  <c r="D347" i="10"/>
  <c r="C225" i="10"/>
  <c r="B225" i="10" s="1"/>
  <c r="C795" i="10"/>
  <c r="B795" i="10" s="1"/>
  <c r="C483" i="10"/>
  <c r="B483" i="10" s="1"/>
  <c r="D134" i="10"/>
  <c r="D479" i="10"/>
  <c r="C638" i="10"/>
  <c r="B638" i="10" s="1"/>
  <c r="D763" i="10"/>
  <c r="D78" i="10"/>
  <c r="C370" i="10"/>
  <c r="B370" i="10" s="1"/>
  <c r="C461" i="10"/>
  <c r="B461" i="10" s="1"/>
  <c r="D87" i="10"/>
  <c r="D626" i="10"/>
  <c r="C408" i="10"/>
  <c r="B408" i="10" s="1"/>
  <c r="D373" i="10"/>
  <c r="D464" i="10"/>
  <c r="D236" i="10"/>
  <c r="D490" i="10"/>
  <c r="D115" i="10"/>
  <c r="D36" i="10"/>
  <c r="D356" i="10"/>
  <c r="D561" i="10"/>
  <c r="D456" i="10"/>
  <c r="D201" i="10"/>
  <c r="C497" i="10"/>
  <c r="B497" i="10" s="1"/>
  <c r="D704" i="10"/>
  <c r="C296" i="10"/>
  <c r="B296" i="10" s="1"/>
  <c r="C154" i="10"/>
  <c r="D306" i="10"/>
  <c r="D671" i="10"/>
  <c r="C254" i="10"/>
  <c r="B254" i="10" s="1"/>
  <c r="D227" i="10"/>
  <c r="D785" i="10"/>
  <c r="C311" i="10"/>
  <c r="B311" i="10" s="1"/>
  <c r="D308" i="10"/>
  <c r="C239" i="10"/>
  <c r="B239" i="10" s="1"/>
  <c r="D588" i="10"/>
  <c r="D44" i="10"/>
  <c r="D675" i="10"/>
  <c r="C625" i="10"/>
  <c r="B625" i="10" s="1"/>
  <c r="C632" i="10"/>
  <c r="B632" i="10" s="1"/>
  <c r="D574" i="10"/>
  <c r="C454" i="10"/>
  <c r="B454" i="10" s="1"/>
  <c r="D650" i="10"/>
  <c r="C744" i="10"/>
  <c r="B744" i="10" s="1"/>
  <c r="D293" i="10"/>
  <c r="C117" i="10"/>
  <c r="D360" i="10"/>
  <c r="D431" i="10"/>
  <c r="D220" i="10"/>
  <c r="C635" i="10"/>
  <c r="B635" i="10" s="1"/>
  <c r="D638" i="10"/>
  <c r="D581" i="10"/>
  <c r="C777" i="10"/>
  <c r="B777" i="10" s="1"/>
  <c r="C352" i="10"/>
  <c r="B352" i="10" s="1"/>
  <c r="D211" i="10"/>
  <c r="C147" i="10"/>
  <c r="C90" i="10"/>
  <c r="D178" i="10"/>
  <c r="C356" i="10"/>
  <c r="B356" i="10" s="1"/>
  <c r="C237" i="10"/>
  <c r="B237" i="10" s="1"/>
  <c r="D778" i="10"/>
  <c r="D545" i="10"/>
  <c r="C648" i="10"/>
  <c r="B648" i="10" s="1"/>
  <c r="D738" i="10"/>
  <c r="C112" i="10"/>
  <c r="D718" i="10"/>
  <c r="C47" i="10"/>
  <c r="C99" i="10"/>
  <c r="D544" i="10"/>
  <c r="D252" i="10"/>
  <c r="C387" i="10"/>
  <c r="B387" i="10" s="1"/>
  <c r="C98" i="10"/>
  <c r="C378" i="10"/>
  <c r="B378" i="10" s="1"/>
  <c r="C367" i="10"/>
  <c r="B367" i="10" s="1"/>
  <c r="D514" i="10"/>
  <c r="C655" i="10"/>
  <c r="B655" i="10" s="1"/>
  <c r="D140" i="10"/>
  <c r="D737" i="10"/>
  <c r="D467" i="10"/>
  <c r="C114" i="10"/>
  <c r="D515" i="10"/>
  <c r="C55" i="10"/>
  <c r="C262" i="10"/>
  <c r="B262" i="10" s="1"/>
  <c r="C103" i="10"/>
  <c r="C608" i="10"/>
  <c r="B608" i="10" s="1"/>
  <c r="C665" i="10"/>
  <c r="B665" i="10" s="1"/>
  <c r="C426" i="10"/>
  <c r="B426" i="10" s="1"/>
  <c r="D553" i="10"/>
  <c r="D268" i="10"/>
  <c r="D101" i="10"/>
  <c r="C442" i="10"/>
  <c r="B442" i="10" s="1"/>
  <c r="D419" i="10"/>
  <c r="C122" i="10"/>
  <c r="C144" i="10"/>
  <c r="C44" i="10"/>
  <c r="C582" i="10"/>
  <c r="B582" i="10" s="1"/>
  <c r="D438" i="10"/>
  <c r="C459" i="10"/>
  <c r="B459" i="10" s="1"/>
  <c r="C652" i="10"/>
  <c r="B652" i="10" s="1"/>
  <c r="D406" i="10"/>
  <c r="C534" i="10"/>
  <c r="B534" i="10" s="1"/>
  <c r="D214" i="10"/>
  <c r="D365" i="10"/>
  <c r="D229" i="10"/>
  <c r="C753" i="10"/>
  <c r="B753" i="10" s="1"/>
  <c r="D435" i="10"/>
  <c r="D597" i="10"/>
  <c r="D47" i="10"/>
  <c r="D275" i="10"/>
  <c r="C327" i="10"/>
  <c r="B327" i="10" s="1"/>
  <c r="C272" i="10"/>
  <c r="B272" i="10" s="1"/>
  <c r="D376" i="10"/>
  <c r="D149" i="10"/>
  <c r="D415" i="10"/>
  <c r="C42" i="10"/>
  <c r="C670" i="10"/>
  <c r="B670" i="10" s="1"/>
  <c r="D326" i="10"/>
  <c r="C306" i="10"/>
  <c r="B306" i="10" s="1"/>
  <c r="C781" i="10"/>
  <c r="B781" i="10" s="1"/>
  <c r="D677" i="10"/>
  <c r="C731" i="10"/>
  <c r="B731" i="10" s="1"/>
  <c r="C519" i="10"/>
  <c r="B519" i="10" s="1"/>
  <c r="C50" i="10"/>
  <c r="C235" i="10"/>
  <c r="B235" i="10" s="1"/>
  <c r="D29" i="10"/>
  <c r="D130" i="10"/>
  <c r="C720" i="10"/>
  <c r="B720" i="10" s="1"/>
  <c r="D730" i="10"/>
  <c r="D117" i="10"/>
  <c r="C342" i="10"/>
  <c r="B342" i="10" s="1"/>
  <c r="D288" i="10"/>
  <c r="C51" i="10"/>
  <c r="C446" i="10"/>
  <c r="B446" i="10" s="1"/>
  <c r="C355" i="10"/>
  <c r="B355" i="10" s="1"/>
  <c r="D701" i="10"/>
  <c r="D653" i="10"/>
  <c r="D398" i="10"/>
  <c r="D500" i="10"/>
  <c r="D439" i="10"/>
  <c r="C132" i="10"/>
  <c r="C150" i="10"/>
  <c r="C676" i="10"/>
  <c r="B676" i="10" s="1"/>
  <c r="D192" i="10"/>
  <c r="D351" i="10"/>
  <c r="D505" i="10"/>
  <c r="D369" i="10"/>
  <c r="C281" i="10"/>
  <c r="B281" i="10" s="1"/>
  <c r="D480" i="10"/>
  <c r="C376" i="10"/>
  <c r="B376" i="10" s="1"/>
  <c r="C303" i="10"/>
  <c r="B303" i="10" s="1"/>
  <c r="D72" i="10"/>
  <c r="D223" i="10"/>
  <c r="D370" i="10"/>
  <c r="D714" i="10"/>
  <c r="C780" i="10"/>
  <c r="B780" i="10" s="1"/>
  <c r="D682" i="10"/>
  <c r="D651" i="10"/>
  <c r="C613" i="10"/>
  <c r="B613" i="10" s="1"/>
  <c r="D457" i="10"/>
  <c r="C474" i="10"/>
  <c r="B474" i="10" s="1"/>
  <c r="C453" i="10"/>
  <c r="B453" i="10" s="1"/>
  <c r="D781" i="10"/>
  <c r="D590" i="10"/>
  <c r="D685" i="10"/>
  <c r="C542" i="10"/>
  <c r="B542" i="10" s="1"/>
  <c r="D197" i="10"/>
  <c r="D655" i="10"/>
  <c r="C576" i="10"/>
  <c r="B576" i="10" s="1"/>
  <c r="D432" i="10"/>
  <c r="D352" i="10"/>
  <c r="D284" i="10"/>
  <c r="C666" i="10"/>
  <c r="B666" i="10" s="1"/>
  <c r="C683" i="10"/>
  <c r="B683" i="10" s="1"/>
  <c r="D549" i="10"/>
  <c r="D296" i="10"/>
  <c r="C116" i="10"/>
  <c r="D744" i="10"/>
  <c r="D30" i="10"/>
  <c r="D123" i="10"/>
  <c r="C294" i="10"/>
  <c r="B294" i="10" s="1"/>
  <c r="D141" i="10"/>
  <c r="C232" i="10"/>
  <c r="B232" i="10" s="1"/>
  <c r="C8" i="10"/>
  <c r="C482" i="10"/>
  <c r="B482" i="10" s="1"/>
  <c r="D321" i="10"/>
  <c r="D265" i="10"/>
  <c r="D599" i="10"/>
  <c r="D426" i="10"/>
  <c r="C714" i="10"/>
  <c r="B714" i="10" s="1"/>
  <c r="D355" i="10"/>
  <c r="D251" i="10"/>
  <c r="C236" i="10"/>
  <c r="B236" i="10" s="1"/>
  <c r="D734" i="10"/>
  <c r="D394" i="10"/>
  <c r="D733" i="10"/>
  <c r="C441" i="10"/>
  <c r="B441" i="10" s="1"/>
  <c r="C773" i="10"/>
  <c r="B773" i="10" s="1"/>
  <c r="D228" i="10"/>
  <c r="C321" i="10"/>
  <c r="B321" i="10" s="1"/>
  <c r="D422" i="10"/>
  <c r="D323" i="10"/>
  <c r="C135" i="10"/>
  <c r="C702" i="10"/>
  <c r="B702" i="10" s="1"/>
  <c r="D54" i="10"/>
  <c r="C257" i="10"/>
  <c r="B257" i="10" s="1"/>
  <c r="D59" i="10"/>
  <c r="C25" i="10"/>
  <c r="D773" i="10"/>
  <c r="C286" i="10"/>
  <c r="B286" i="10" s="1"/>
  <c r="C562" i="10"/>
  <c r="B562" i="10" s="1"/>
  <c r="C101" i="10"/>
  <c r="D118" i="10"/>
  <c r="C682" i="10"/>
  <c r="B682" i="10" s="1"/>
  <c r="C74" i="10"/>
  <c r="C365" i="10"/>
  <c r="B365" i="10" s="1"/>
  <c r="C533" i="10"/>
  <c r="B533" i="10" s="1"/>
  <c r="C133" i="10"/>
  <c r="D368" i="10"/>
  <c r="C277" i="10"/>
  <c r="B277" i="10" s="1"/>
  <c r="D591" i="10"/>
  <c r="C466" i="10"/>
  <c r="B466" i="10" s="1"/>
  <c r="C737" i="10"/>
  <c r="B737" i="10" s="1"/>
  <c r="D324" i="10"/>
  <c r="D331" i="10"/>
  <c r="C499" i="10"/>
  <c r="B499" i="10" s="1"/>
  <c r="C282" i="10"/>
  <c r="B282" i="10" s="1"/>
  <c r="D195" i="10"/>
  <c r="D445" i="10"/>
  <c r="D74" i="10"/>
  <c r="D221" i="10"/>
  <c r="C234" i="10"/>
  <c r="B234" i="10" s="1"/>
  <c r="C728" i="10"/>
  <c r="B728" i="10" s="1"/>
  <c r="C769" i="10"/>
  <c r="B769" i="10" s="1"/>
  <c r="C77" i="10"/>
  <c r="C664" i="10"/>
  <c r="B664" i="10" s="1"/>
  <c r="D105" i="10"/>
  <c r="C403" i="10"/>
  <c r="B403" i="10" s="1"/>
  <c r="C5" i="10"/>
  <c r="B5" i="10" s="1"/>
  <c r="B6" i="10" s="1"/>
  <c r="D68" i="10"/>
  <c r="D668" i="10"/>
  <c r="D332" i="10"/>
  <c r="D592" i="10"/>
  <c r="C709" i="10"/>
  <c r="B709" i="10" s="1"/>
  <c r="D63" i="10"/>
  <c r="D93" i="10"/>
  <c r="D55" i="10"/>
  <c r="C115" i="10"/>
  <c r="D233" i="10"/>
  <c r="D539" i="10"/>
  <c r="D766" i="10"/>
  <c r="D49" i="10"/>
  <c r="C540" i="10"/>
  <c r="B540" i="10" s="1"/>
  <c r="D56" i="10"/>
  <c r="D565" i="10"/>
  <c r="C138" i="10"/>
  <c r="D414" i="10"/>
  <c r="D728" i="10"/>
  <c r="C701" i="10"/>
  <c r="B701" i="10" s="1"/>
  <c r="C316" i="10"/>
  <c r="B316" i="10" s="1"/>
  <c r="D127" i="10"/>
  <c r="D683" i="10"/>
  <c r="C464" i="10"/>
  <c r="B464" i="10" s="1"/>
  <c r="D512" i="10"/>
  <c r="D774" i="10"/>
  <c r="C88" i="10"/>
  <c r="D526" i="10"/>
  <c r="D132" i="10"/>
  <c r="C373" i="10"/>
  <c r="B373" i="10" s="1"/>
  <c r="C301" i="10"/>
  <c r="B301" i="10" s="1"/>
  <c r="D97" i="10"/>
  <c r="D501" i="10"/>
  <c r="C363" i="10"/>
  <c r="B363" i="10" s="1"/>
  <c r="C587" i="10"/>
  <c r="B587" i="10" s="1"/>
  <c r="D446" i="10"/>
  <c r="C521" i="10"/>
  <c r="B521" i="10" s="1"/>
  <c r="C209" i="10"/>
  <c r="C402" i="10"/>
  <c r="B402" i="10" s="1"/>
  <c r="C398" i="10"/>
  <c r="B398" i="10" s="1"/>
  <c r="C61" i="10"/>
  <c r="C381" i="10"/>
  <c r="B381" i="10" s="1"/>
  <c r="D131" i="10"/>
  <c r="C758" i="10"/>
  <c r="B758" i="10" s="1"/>
  <c r="C450" i="10"/>
  <c r="B450" i="10" s="1"/>
  <c r="C219" i="10"/>
  <c r="B219" i="10" s="1"/>
  <c r="D496" i="10"/>
  <c r="D289" i="10"/>
  <c r="C374" i="10"/>
  <c r="B374" i="10" s="1"/>
  <c r="D680" i="10"/>
  <c r="C458" i="10"/>
  <c r="B458" i="10" s="1"/>
  <c r="D724" i="10"/>
  <c r="C49" i="10"/>
  <c r="D697" i="10"/>
  <c r="D382" i="10"/>
  <c r="D633" i="10"/>
  <c r="C266" i="10"/>
  <c r="B266" i="10" s="1"/>
  <c r="D556" i="10"/>
  <c r="C162" i="10"/>
  <c r="D328" i="11"/>
  <c r="C394" i="1"/>
  <c r="D329" i="11"/>
  <c r="B7" i="10" l="1"/>
  <c r="B8" i="10" s="1"/>
  <c r="C163" i="10"/>
  <c r="D330" i="11"/>
  <c r="C395" i="1"/>
  <c r="D331" i="11"/>
  <c r="C164" i="10" l="1"/>
  <c r="D332" i="11"/>
  <c r="C396" i="1"/>
  <c r="D333" i="11"/>
  <c r="C165" i="10" l="1"/>
  <c r="D334" i="11"/>
  <c r="C397" i="1"/>
  <c r="D335" i="11"/>
  <c r="C166" i="10" l="1"/>
  <c r="D336" i="11"/>
  <c r="C398" i="1"/>
  <c r="D337" i="11"/>
  <c r="C167" i="10" l="1"/>
  <c r="D338" i="11"/>
  <c r="C399" i="1"/>
  <c r="D339" i="11"/>
  <c r="C168" i="10" l="1"/>
  <c r="D340" i="11"/>
  <c r="C400" i="1"/>
  <c r="D341" i="11"/>
  <c r="C169" i="10" l="1"/>
  <c r="C401" i="1"/>
  <c r="D343" i="11"/>
  <c r="D342" i="11"/>
  <c r="C170" i="10" l="1"/>
  <c r="C402" i="1"/>
  <c r="D345" i="11"/>
  <c r="D344" i="11"/>
  <c r="C171" i="10" l="1"/>
  <c r="C403" i="1"/>
  <c r="D347" i="11"/>
  <c r="D346" i="11"/>
  <c r="C172" i="10" l="1"/>
  <c r="C404" i="1"/>
  <c r="D349" i="11"/>
  <c r="D348" i="11"/>
  <c r="C173" i="10" l="1"/>
  <c r="C405" i="1"/>
  <c r="D351" i="11"/>
  <c r="D350" i="11"/>
  <c r="C174" i="10" l="1"/>
  <c r="C406" i="1"/>
  <c r="D353" i="11"/>
  <c r="D352" i="11"/>
  <c r="C175" i="10" l="1"/>
  <c r="D354" i="11"/>
  <c r="D355" i="11"/>
  <c r="C413" i="1"/>
  <c r="C176" i="10" l="1"/>
  <c r="C414" i="1"/>
  <c r="D357" i="11"/>
  <c r="C177" i="10" s="1"/>
  <c r="D358" i="11"/>
  <c r="C416" i="1" l="1"/>
  <c r="D360" i="11"/>
  <c r="D359" i="11"/>
  <c r="C178" i="10" s="1"/>
  <c r="C419" i="1" l="1"/>
  <c r="D361" i="11"/>
  <c r="C179" i="10" s="1"/>
  <c r="D362" i="11"/>
  <c r="C424" i="1" l="1"/>
  <c r="D364" i="11"/>
  <c r="D363" i="11"/>
  <c r="C9" i="10" s="1"/>
  <c r="B9" i="10" s="1"/>
  <c r="C27" i="10" l="1"/>
  <c r="C10" i="10"/>
  <c r="B10" i="10" s="1"/>
  <c r="C180" i="10"/>
  <c r="C26" i="10"/>
  <c r="C426" i="1"/>
  <c r="D365" i="11"/>
  <c r="D366" i="11"/>
  <c r="C431" i="1" l="1"/>
  <c r="D367" i="11"/>
  <c r="C432" i="1" l="1"/>
  <c r="D369" i="11"/>
  <c r="D368" i="11"/>
  <c r="C181" i="10" s="1"/>
  <c r="C434" i="1" l="1"/>
  <c r="D371" i="11"/>
  <c r="D370" i="11"/>
  <c r="C182" i="10" s="1"/>
  <c r="C435" i="1" l="1"/>
  <c r="D373" i="11"/>
  <c r="D372" i="11"/>
  <c r="C183" i="10" s="1"/>
  <c r="C437" i="1" l="1"/>
  <c r="D375" i="11"/>
  <c r="D374" i="11"/>
  <c r="C184" i="10" s="1"/>
  <c r="C440" i="1" l="1"/>
  <c r="D377" i="11"/>
  <c r="D376" i="11"/>
  <c r="C185" i="10" s="1"/>
  <c r="C441" i="1" l="1"/>
  <c r="D380" i="11"/>
  <c r="D379" i="11"/>
  <c r="C443" i="1" l="1"/>
  <c r="D382" i="11"/>
  <c r="D381" i="11"/>
  <c r="C446" i="1" l="1"/>
  <c r="D384" i="11"/>
  <c r="D383" i="11"/>
  <c r="C451" i="1" l="1"/>
  <c r="D386" i="11"/>
  <c r="D385" i="11"/>
  <c r="C29" i="10" l="1"/>
  <c r="C12" i="10"/>
  <c r="C28" i="10"/>
  <c r="C11" i="10"/>
  <c r="B11" i="10" s="1"/>
  <c r="C453" i="1"/>
  <c r="D388" i="11"/>
  <c r="D387" i="11"/>
  <c r="B12" i="10" l="1"/>
  <c r="C458" i="1"/>
  <c r="D389" i="11"/>
  <c r="C459" i="1" l="1"/>
  <c r="D390" i="11"/>
  <c r="D391" i="11"/>
  <c r="C461" i="1" l="1"/>
  <c r="D393" i="11"/>
  <c r="D392" i="11"/>
  <c r="C462" i="1" l="1"/>
  <c r="D394" i="11"/>
  <c r="D395" i="11"/>
  <c r="C464" i="1" l="1"/>
  <c r="D397" i="11"/>
  <c r="D396" i="11"/>
  <c r="C467" i="1" l="1"/>
  <c r="D398" i="11"/>
  <c r="D399" i="11"/>
  <c r="C468" i="1" l="1"/>
  <c r="D402" i="11"/>
  <c r="D401" i="11"/>
  <c r="C470" i="1" l="1"/>
  <c r="D403" i="11"/>
  <c r="D404" i="11"/>
  <c r="C473" i="1" l="1"/>
  <c r="D406" i="11"/>
  <c r="D405" i="11"/>
  <c r="D408" i="11" l="1"/>
  <c r="C478" i="1"/>
  <c r="D407" i="11"/>
  <c r="C30" i="10" l="1"/>
  <c r="C13" i="10"/>
  <c r="B13" i="10" s="1"/>
  <c r="C31" i="10"/>
  <c r="C14" i="10"/>
  <c r="D409" i="11"/>
  <c r="C480" i="1"/>
  <c r="D410" i="11"/>
  <c r="B14" i="10" l="1"/>
  <c r="D411" i="11"/>
  <c r="C485" i="1"/>
  <c r="D413" i="11" l="1"/>
  <c r="C486" i="1"/>
  <c r="D412" i="11"/>
  <c r="C488" i="1" l="1"/>
  <c r="D414" i="11"/>
  <c r="D415" i="11"/>
  <c r="D417" i="11" l="1"/>
  <c r="C489" i="1"/>
  <c r="D416" i="11"/>
  <c r="D419" i="11" l="1"/>
  <c r="C491" i="1"/>
  <c r="D418" i="11"/>
  <c r="D421" i="11" l="1"/>
  <c r="C494" i="1"/>
  <c r="D420" i="11"/>
  <c r="C497" i="1" l="1"/>
  <c r="D423" i="11"/>
  <c r="D422" i="11"/>
  <c r="C186" i="10" l="1"/>
  <c r="C503" i="1"/>
  <c r="D424" i="11"/>
  <c r="C32" i="10" l="1"/>
  <c r="C15" i="10"/>
  <c r="B15" i="10" s="1"/>
  <c r="C187" i="10"/>
  <c r="D425" i="11"/>
  <c r="C509" i="1"/>
  <c r="C33" i="10" l="1"/>
  <c r="C16" i="10"/>
  <c r="B16" i="10" s="1"/>
  <c r="C188" i="10"/>
  <c r="D426" i="11"/>
  <c r="C517" i="1"/>
  <c r="C34" i="10" l="1"/>
  <c r="C17" i="10"/>
  <c r="B17" i="10" s="1"/>
  <c r="C189" i="10"/>
  <c r="C523" i="1"/>
  <c r="D427" i="11"/>
  <c r="C35" i="10" l="1"/>
  <c r="C18" i="10"/>
  <c r="B18" i="10" s="1"/>
  <c r="C190" i="10"/>
  <c r="D428" i="11"/>
  <c r="C529" i="1"/>
  <c r="C36" i="10" l="1"/>
  <c r="C19" i="10"/>
  <c r="B19" i="10" s="1"/>
  <c r="C191" i="10"/>
  <c r="C535" i="1"/>
  <c r="D429" i="11"/>
  <c r="C37" i="10" l="1"/>
  <c r="C20" i="10"/>
  <c r="B20" i="10" s="1"/>
  <c r="C192" i="10"/>
  <c r="D430" i="11"/>
  <c r="C541" i="1"/>
  <c r="C38" i="10" l="1"/>
  <c r="C21" i="10"/>
  <c r="B21" i="10" s="1"/>
  <c r="C193" i="10"/>
  <c r="C547" i="1"/>
  <c r="D431" i="11"/>
  <c r="C39" i="10" l="1"/>
  <c r="C22" i="10"/>
  <c r="B22" i="10" s="1"/>
  <c r="C194" i="10"/>
  <c r="C553" i="1"/>
  <c r="D432" i="11"/>
  <c r="C40" i="10" l="1"/>
  <c r="C23" i="10"/>
  <c r="B23" i="10" s="1"/>
  <c r="C195" i="10"/>
  <c r="D433" i="11"/>
  <c r="C560" i="1"/>
  <c r="C41" i="10" l="1"/>
  <c r="C24" i="10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C196" i="10"/>
  <c r="C561" i="1"/>
  <c r="D434" i="11"/>
  <c r="D435" i="11"/>
  <c r="B41" i="10" l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C197" i="10"/>
  <c r="D437" i="11"/>
  <c r="D436" i="11"/>
  <c r="C199" i="10" s="1"/>
  <c r="B171" i="10" l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C198" i="10"/>
  <c r="B198" i="10" l="1"/>
  <c r="B42" i="19"/>
  <c r="B38" i="19"/>
  <c r="B39" i="19"/>
  <c r="B41" i="19"/>
  <c r="E40" i="19"/>
  <c r="E43" i="19"/>
  <c r="B43" i="19" s="1"/>
  <c r="B44" i="19"/>
  <c r="E37" i="19" l="1"/>
  <c r="B37" i="19" s="1"/>
  <c r="B199" i="10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40" i="19"/>
  <c r="E29" i="19" l="1"/>
  <c r="E28" i="19" s="1"/>
  <c r="B28" i="19" s="1"/>
  <c r="E563" i="1"/>
  <c r="D564" i="1" s="1"/>
  <c r="B29" i="19" l="1"/>
  <c r="N36" i="15" s="1"/>
  <c r="O3" i="15" l="1"/>
  <c r="O34" i="15"/>
  <c r="O37" i="15"/>
  <c r="N27" i="15"/>
  <c r="O18" i="15"/>
  <c r="N26" i="15"/>
  <c r="N25" i="15"/>
  <c r="O28" i="15"/>
  <c r="O23" i="15"/>
  <c r="O17" i="15"/>
  <c r="N19" i="15"/>
  <c r="O27" i="15"/>
  <c r="O25" i="15"/>
  <c r="N6" i="15"/>
  <c r="N29" i="15"/>
  <c r="O5" i="15"/>
  <c r="N35" i="15"/>
  <c r="N39" i="15"/>
  <c r="O39" i="15"/>
  <c r="N32" i="15"/>
  <c r="O10" i="15"/>
  <c r="N16" i="15"/>
  <c r="O35" i="15"/>
  <c r="O26" i="15"/>
  <c r="O21" i="15"/>
  <c r="N4" i="15"/>
  <c r="O16" i="15"/>
  <c r="O15" i="15"/>
  <c r="O4" i="15"/>
  <c r="N34" i="15"/>
  <c r="O6" i="15"/>
  <c r="N3" i="15"/>
  <c r="O14" i="15"/>
  <c r="N37" i="15"/>
  <c r="N15" i="15"/>
  <c r="N14" i="15"/>
  <c r="N8" i="15"/>
  <c r="O22" i="15"/>
  <c r="O13" i="15"/>
  <c r="N9" i="15"/>
  <c r="N18" i="15"/>
  <c r="N33" i="15"/>
  <c r="N11" i="15"/>
  <c r="O9" i="15"/>
  <c r="O11" i="15"/>
  <c r="O32" i="15"/>
  <c r="O12" i="15"/>
  <c r="O38" i="15"/>
  <c r="N30" i="15"/>
  <c r="N12" i="15"/>
  <c r="O24" i="15"/>
  <c r="O33" i="15"/>
  <c r="N10" i="15"/>
  <c r="O36" i="15"/>
  <c r="O20" i="15"/>
  <c r="N13" i="15"/>
  <c r="N31" i="15"/>
  <c r="O29" i="15"/>
  <c r="N17" i="15"/>
  <c r="N20" i="15"/>
  <c r="O30" i="15"/>
  <c r="N38" i="15"/>
  <c r="N5" i="15"/>
  <c r="N22" i="15"/>
  <c r="O31" i="15"/>
  <c r="N23" i="15"/>
  <c r="N24" i="15"/>
  <c r="N28" i="15"/>
  <c r="O8" i="15"/>
  <c r="O7" i="15"/>
  <c r="N21" i="15"/>
  <c r="O19" i="15"/>
  <c r="N7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D25" authorId="0" shapeId="0">
      <text>
        <r>
          <rPr>
            <sz val="12"/>
            <color indexed="81"/>
            <rFont val="Arial"/>
            <family val="2"/>
          </rPr>
          <t>If every tree has the same combination, write  the number "1".</t>
        </r>
      </text>
    </comment>
    <comment ref="D138" authorId="0" shapeId="0">
      <text>
        <r>
          <rPr>
            <sz val="12"/>
            <color indexed="81"/>
            <rFont val="Arial"/>
            <family val="2"/>
          </rPr>
          <t>Check upstream and downstream of filter if filter is downstream of pump discharge.</t>
        </r>
      </text>
    </comment>
    <comment ref="D253" authorId="0" shapeId="0">
      <text>
        <r>
          <rPr>
            <sz val="12"/>
            <color indexed="81"/>
            <rFont val="Arial"/>
            <family val="2"/>
          </rPr>
          <t>This is not the ratio of emitters to plants. One emitter can supply water to multiple plants. If each emitter were spaced evenly between two plants, even though the emitter/plant ratio would be 1, the number of emitters that supply water to each plant would be 2.</t>
        </r>
      </text>
    </comment>
    <comment ref="D266" authorId="0" shapeId="0">
      <text>
        <r>
          <rPr>
            <sz val="12"/>
            <color indexed="81"/>
            <rFont val="Arial"/>
            <family val="2"/>
          </rPr>
          <t>If you know the emitter exponent is about 0.5, it is more accurate to assume 0.5 than to do in-field calculations.</t>
        </r>
      </text>
    </comment>
    <comment ref="D271" authorId="0" shapeId="0">
      <text>
        <r>
          <rPr>
            <sz val="12"/>
            <color indexed="81"/>
            <rFont val="Arial"/>
            <family val="2"/>
          </rPr>
          <t>If the emitter exponent is not known to be 0.5 and the emitters are not pressure compensating, you must perform 2 flow tests to determine the emitter exponent.</t>
        </r>
      </text>
    </comment>
    <comment ref="D276" authorId="0" shapeId="0">
      <text>
        <r>
          <rPr>
            <sz val="12"/>
            <color indexed="81"/>
            <rFont val="Arial"/>
            <family val="2"/>
          </rPr>
          <t>If the emitter is pressure compensating, you must perform five tests to create a pressure-flow rate curve.</t>
        </r>
      </text>
    </comment>
    <comment ref="D294" authorId="0" shapeId="0">
      <text>
        <r>
          <rPr>
            <sz val="12"/>
            <color indexed="81"/>
            <rFont val="Arial"/>
            <family val="2"/>
          </rPr>
          <t>Blank individual emitter volume fields represent zero flow collected from emitter. If less than 16 values were collected, re-perform test or estimate missing value(s).</t>
        </r>
      </text>
    </comment>
    <comment ref="D316" authorId="0" shapeId="0">
      <text>
        <r>
          <rPr>
            <sz val="12"/>
            <color indexed="81"/>
            <rFont val="Arial"/>
            <family val="2"/>
          </rPr>
          <t>Individual emitter water volume values are not needed for Test 2. Sum the total volume collected from all of the emitters during this test.</t>
        </r>
      </text>
    </comment>
    <comment ref="D318" authorId="0" shapeId="0">
      <text>
        <r>
          <rPr>
            <sz val="12"/>
            <color indexed="81"/>
            <rFont val="Arial"/>
            <family val="2"/>
          </rPr>
          <t>This value should be 16. But, for example, if one bucket fell over, input 15.</t>
        </r>
      </text>
    </comment>
    <comment ref="D325" authorId="0" shapeId="0">
      <text>
        <r>
          <rPr>
            <sz val="12"/>
            <color indexed="81"/>
            <rFont val="Arial"/>
            <family val="2"/>
          </rPr>
          <t>Individual emitter water volume values are not needed for Test 2. Sum the total volume collected from all of the emitters during this test.</t>
        </r>
      </text>
    </comment>
    <comment ref="D327" authorId="0" shapeId="0">
      <text>
        <r>
          <rPr>
            <sz val="12"/>
            <color indexed="81"/>
            <rFont val="Arial"/>
            <family val="2"/>
          </rPr>
          <t>This value should be 16. But, for example, if one bucket fell over, input 15.</t>
        </r>
      </text>
    </comment>
    <comment ref="D334" authorId="0" shapeId="0">
      <text>
        <r>
          <rPr>
            <sz val="12"/>
            <color indexed="81"/>
            <rFont val="Arial"/>
            <family val="2"/>
          </rPr>
          <t>Individual emitter water volume values are not needed for Test 2. Sum the total volume collected from all of the emitters during this test.</t>
        </r>
      </text>
    </comment>
    <comment ref="D336" authorId="0" shapeId="0">
      <text>
        <r>
          <rPr>
            <sz val="12"/>
            <color indexed="81"/>
            <rFont val="Arial"/>
            <family val="2"/>
          </rPr>
          <t>This value should be 16. But, for example, if one bucket fell over, input 15.</t>
        </r>
      </text>
    </comment>
    <comment ref="D343" authorId="0" shapeId="0">
      <text>
        <r>
          <rPr>
            <sz val="12"/>
            <color indexed="81"/>
            <rFont val="Arial"/>
            <family val="2"/>
          </rPr>
          <t>Individual emitter water volume values are not needed for Test 2. Sum the total volume collected from all of the emitters during this test.</t>
        </r>
      </text>
    </comment>
    <comment ref="D345" authorId="0" shapeId="0">
      <text>
        <r>
          <rPr>
            <sz val="12"/>
            <color indexed="81"/>
            <rFont val="Arial"/>
            <family val="2"/>
          </rPr>
          <t>This value should be 16. But, for example, if one bucket fell over, input 15.</t>
        </r>
      </text>
    </comment>
    <comment ref="D353" authorId="0" shapeId="0">
      <text>
        <r>
          <rPr>
            <sz val="12"/>
            <color indexed="81"/>
            <rFont val="Arial"/>
            <family val="2"/>
          </rPr>
          <t>Blank individual emitter volume fields represent zero flow collected from emitter. If less than 16 values were collected, re-perform test or estimate missing value(s).</t>
        </r>
      </text>
    </comment>
    <comment ref="D378" authorId="0" shapeId="0">
      <text>
        <r>
          <rPr>
            <sz val="12"/>
            <color indexed="81"/>
            <rFont val="Arial"/>
            <family val="2"/>
          </rPr>
          <t>Blank individual emitter volume fields represent zero flow collected from emitter. If less than 28 values were collected, re-perform test or estimate missing value(s).</t>
        </r>
      </text>
    </comment>
    <comment ref="D414" authorId="0" shapeId="0">
      <text>
        <r>
          <rPr>
            <sz val="12"/>
            <color indexed="81"/>
            <rFont val="Arial"/>
            <family val="2"/>
          </rPr>
          <t>This is the total area of the field dedicated to an individual tree, NOT the area under the canopy.</t>
        </r>
      </text>
    </comment>
    <comment ref="D416" authorId="0" shapeId="0">
      <text>
        <r>
          <rPr>
            <sz val="12"/>
            <color indexed="81"/>
            <rFont val="Arial"/>
            <family val="2"/>
          </rPr>
          <t>Does not need to be a whole number, but must be at least 1. This is the ratio of emitters to plants. If there are two emitters for every one tree, the value would be "2".</t>
        </r>
      </text>
    </comment>
    <comment ref="D419" authorId="0" shapeId="0">
      <text>
        <r>
          <rPr>
            <sz val="12"/>
            <color indexed="81"/>
            <rFont val="Arial"/>
            <family val="2"/>
          </rPr>
          <t>The average flow rate per emitter is automatically calculated from your emitter flow measurements. Entering a value below overrides that value.</t>
        </r>
      </text>
    </comment>
    <comment ref="D424" authorId="0" shapeId="0">
      <text>
        <r>
          <rPr>
            <sz val="12"/>
            <color indexed="81"/>
            <rFont val="Arial"/>
            <family val="2"/>
          </rPr>
          <t>This value could be computed by performing a flow test or estimated. This is the true emitter flow rate during operation, not the nominal emitter flow rate.</t>
        </r>
      </text>
    </comment>
    <comment ref="D432" authorId="0" shapeId="0">
      <text>
        <r>
          <rPr>
            <sz val="12"/>
            <color indexed="81"/>
            <rFont val="Arial"/>
            <family val="2"/>
          </rPr>
          <t>Use a reasonable, manageable root zone depth, not the maximum depth a root may reach.</t>
        </r>
      </text>
    </comment>
    <comment ref="D435" authorId="0" shapeId="0">
      <text>
        <r>
          <rPr>
            <sz val="12"/>
            <color indexed="81"/>
            <rFont val="Arial"/>
            <family val="2"/>
          </rPr>
          <t>Measure the days between irrigations from the start of the first irrigation to the start of next.</t>
        </r>
      </text>
    </comment>
    <comment ref="D441" authorId="0" shapeId="0">
      <text>
        <r>
          <rPr>
            <sz val="12"/>
            <color indexed="81"/>
            <rFont val="Arial"/>
            <family val="2"/>
          </rPr>
          <t>This is the total area of the field dedicated to an individual tree, NOT the area under the canopy.</t>
        </r>
      </text>
    </comment>
    <comment ref="D443" authorId="0" shapeId="0">
      <text>
        <r>
          <rPr>
            <sz val="12"/>
            <color indexed="81"/>
            <rFont val="Arial"/>
            <family val="2"/>
          </rPr>
          <t>Does not need to be a whole number, but must be at least 1. This is the ratio of emitters to plants. If there are two emitters for every one tree, the value would be "2".</t>
        </r>
      </text>
    </comment>
    <comment ref="D446" authorId="0" shapeId="0">
      <text>
        <r>
          <rPr>
            <sz val="12"/>
            <color indexed="81"/>
            <rFont val="Arial"/>
            <family val="2"/>
          </rPr>
          <t>The average flow rate per emitter is automatically calculated from your emitter flow measurements. Entering a value below overrides that value.</t>
        </r>
      </text>
    </comment>
    <comment ref="D451" authorId="0" shapeId="0">
      <text>
        <r>
          <rPr>
            <sz val="12"/>
            <color indexed="81"/>
            <rFont val="Arial"/>
            <family val="2"/>
          </rPr>
          <t>This value could be computed by performing a flow test or estimated. This is the true emitter flow rate during operation, not the nominal emitter flow rate.</t>
        </r>
      </text>
    </comment>
    <comment ref="D459" authorId="0" shapeId="0">
      <text>
        <r>
          <rPr>
            <sz val="12"/>
            <color indexed="81"/>
            <rFont val="Arial"/>
            <family val="2"/>
          </rPr>
          <t>Use a reasonable, manageable root zone depth, not the maximum depth a root may reach.</t>
        </r>
      </text>
    </comment>
    <comment ref="D462" authorId="0" shapeId="0">
      <text>
        <r>
          <rPr>
            <sz val="12"/>
            <color indexed="81"/>
            <rFont val="Arial"/>
            <family val="2"/>
          </rPr>
          <t>Measure the days between irrigations from the start of the first irrigation to the start of next.</t>
        </r>
      </text>
    </comment>
    <comment ref="D468" authorId="0" shapeId="0">
      <text>
        <r>
          <rPr>
            <sz val="12"/>
            <color indexed="81"/>
            <rFont val="Arial"/>
            <family val="2"/>
          </rPr>
          <t>This is the total area of the field dedicated to an individual tree, NOT the area under the canopy.</t>
        </r>
      </text>
    </comment>
    <comment ref="D470" authorId="0" shapeId="0">
      <text>
        <r>
          <rPr>
            <sz val="12"/>
            <color indexed="81"/>
            <rFont val="Arial"/>
            <family val="2"/>
          </rPr>
          <t>Does not need to be a whole number, but must be at least 1. This is the ratio of emitters to plants. If there are two emitters for every one tree, the value would be "2".</t>
        </r>
      </text>
    </comment>
    <comment ref="D473" authorId="0" shapeId="0">
      <text>
        <r>
          <rPr>
            <sz val="12"/>
            <color indexed="81"/>
            <rFont val="Arial"/>
            <family val="2"/>
          </rPr>
          <t>The average flow rate per emitter is automatically calculated from your emitter flow measurements. Entering a value below overrides that value.</t>
        </r>
      </text>
    </comment>
    <comment ref="D478" authorId="0" shapeId="0">
      <text>
        <r>
          <rPr>
            <sz val="12"/>
            <color indexed="81"/>
            <rFont val="Arial"/>
            <family val="2"/>
          </rPr>
          <t>This value could be computed by performing a flow test or estimated. This is the true emitter flow rate during operation, not the nominal emitter flow rate.</t>
        </r>
      </text>
    </comment>
    <comment ref="D486" authorId="0" shapeId="0">
      <text>
        <r>
          <rPr>
            <sz val="12"/>
            <color indexed="81"/>
            <rFont val="Arial"/>
            <family val="2"/>
          </rPr>
          <t>Use a reasonable, manageable root zone depth, not the maximum depth a root may reach.</t>
        </r>
      </text>
    </comment>
    <comment ref="D489" authorId="0" shapeId="0">
      <text>
        <r>
          <rPr>
            <sz val="12"/>
            <color indexed="81"/>
            <rFont val="Arial"/>
            <family val="2"/>
          </rPr>
          <t>Measure the days between irrigations from the start of the first irrigation to the start of next.</t>
        </r>
      </text>
    </comment>
  </commentList>
</comments>
</file>

<file path=xl/sharedStrings.xml><?xml version="1.0" encoding="utf-8"?>
<sst xmlns="http://schemas.openxmlformats.org/spreadsheetml/2006/main" count="2133" uniqueCount="953">
  <si>
    <t>Units of nominal flow rate:</t>
  </si>
  <si>
    <t>Manufacturer:</t>
  </si>
  <si>
    <t>Model:</t>
  </si>
  <si>
    <t>Emitter path type:</t>
  </si>
  <si>
    <t>Nominal flow/emitter (gph or lph):</t>
  </si>
  <si>
    <t>EMITTER SPACING</t>
  </si>
  <si>
    <t>Emitter: Units of Nominal Flow Rate</t>
  </si>
  <si>
    <t>Emitter: Emitter Path Type</t>
  </si>
  <si>
    <t>lph</t>
  </si>
  <si>
    <t>#1</t>
  </si>
  <si>
    <t>#2</t>
  </si>
  <si>
    <t>#3</t>
  </si>
  <si>
    <t>VALVING</t>
  </si>
  <si>
    <t>Is there a flow meter?</t>
  </si>
  <si>
    <t>Yes and No</t>
  </si>
  <si>
    <t>Yes</t>
  </si>
  <si>
    <t>No</t>
  </si>
  <si>
    <t>PUMP STATION MEASUREMENTS</t>
  </si>
  <si>
    <t>Optional Pressure Values:</t>
  </si>
  <si>
    <t>FILTRATION</t>
  </si>
  <si>
    <t>Type of filter (select all that apply):</t>
  </si>
  <si>
    <t>Automatic flush on the primary filter?</t>
  </si>
  <si>
    <t>Tubular screen?</t>
  </si>
  <si>
    <t>Overflow screen?</t>
  </si>
  <si>
    <t>Media filter?</t>
  </si>
  <si>
    <t>Sand (centrifugal) separator?</t>
  </si>
  <si>
    <t>"Vacuum cleaned" tubular screen?</t>
  </si>
  <si>
    <t>CHEMICAL INJECTION SYSTEM</t>
  </si>
  <si>
    <t>Chem. Inj. Sys: Frequency</t>
  </si>
  <si>
    <t>UNEQUAL DRAINAGE</t>
  </si>
  <si>
    <t>CONTAMINANTS AND PLUGGING/LEAKS</t>
  </si>
  <si>
    <t>Sand:</t>
  </si>
  <si>
    <t>Bacteria/algae:</t>
  </si>
  <si>
    <t>Precipitate (bubbles with acid drop):</t>
  </si>
  <si>
    <t>Bacteria:</t>
  </si>
  <si>
    <t>Insects:</t>
  </si>
  <si>
    <t>Plastic parts:</t>
  </si>
  <si>
    <t>SYSTEM DESCRIPTION</t>
  </si>
  <si>
    <t>Is there a water penetration problem?</t>
  </si>
  <si>
    <t>Type of water source:</t>
  </si>
  <si>
    <t>Contaminants: Scale</t>
  </si>
  <si>
    <t>Sys. Descrip: Water Source</t>
  </si>
  <si>
    <t>EMITTER FLOW MEASUREMENTS</t>
  </si>
  <si>
    <t>FIELD PRESSURE MEASUREMENTS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</si>
  <si>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</si>
  <si>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</si>
  <si>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</si>
  <si>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</si>
  <si>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</si>
  <si>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</si>
  <si>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</si>
  <si>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</si>
  <si>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</si>
  <si>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</si>
  <si>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</si>
  <si>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</si>
  <si>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</si>
  <si>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gph</t>
  </si>
  <si>
    <t>Long, smooth path</t>
  </si>
  <si>
    <t>Pressure compensating</t>
  </si>
  <si>
    <t>Vortex</t>
  </si>
  <si>
    <t>Mult. flexible orifice</t>
  </si>
  <si>
    <t>Downstream</t>
  </si>
  <si>
    <t>Upstream</t>
  </si>
  <si>
    <t>Never</t>
  </si>
  <si>
    <t>Annually</t>
  </si>
  <si>
    <t>Monthly</t>
  </si>
  <si>
    <t>Weekly or more</t>
  </si>
  <si>
    <t>None</t>
  </si>
  <si>
    <t>Slight</t>
  </si>
  <si>
    <t>Medium</t>
  </si>
  <si>
    <t>Major</t>
  </si>
  <si>
    <t>Well</t>
  </si>
  <si>
    <t>Surface</t>
  </si>
  <si>
    <t>Both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</si>
  <si>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</si>
  <si>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</si>
  <si>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</si>
  <si>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</si>
  <si>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</si>
  <si>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</si>
  <si>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</si>
  <si>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</si>
  <si>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</si>
  <si>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</si>
  <si>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</si>
  <si>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</si>
  <si>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Disc filter?</t>
  </si>
  <si>
    <t>Is there undulating (rolling; up-and-down) topography?</t>
  </si>
  <si>
    <t>AREA NUMBER: 1</t>
  </si>
  <si>
    <t>AREA NUMBER: 2</t>
  </si>
  <si>
    <t>AREA NUMBER: 3</t>
  </si>
  <si>
    <t>Number of automatic pressure control valves near the filter and pump (0 for none):</t>
  </si>
  <si>
    <t>Rate the amount of material caught in the nylon sock when flushing the hoses:</t>
  </si>
  <si>
    <t>Rate the visible signs of abnormal emitter flow due to cracked hoses, barb leaks, etc.:</t>
  </si>
  <si>
    <t>Closest hose to the inlet of the submain (or regulated manifold):</t>
  </si>
  <si>
    <t>Most distant hose from the inlet of the submain (or regulated manifold):</t>
  </si>
  <si>
    <t>Evaluator:</t>
  </si>
  <si>
    <t>Date:</t>
  </si>
  <si>
    <t>Other</t>
  </si>
  <si>
    <t>For all emitter types, flows must be measured at 3 locations (A-C) throughout the field.</t>
  </si>
  <si>
    <t>Location A</t>
  </si>
  <si>
    <t>Do you want to over-ride the computed flow per emitter?</t>
  </si>
  <si>
    <t>Does the head of each hose have an automatic pressure regulator?</t>
  </si>
  <si>
    <t>Does the head of each manifold have an automatic pressure regulator?</t>
  </si>
  <si>
    <t>Frequency of hose/tape flushing:</t>
  </si>
  <si>
    <t>Note: Water must be flowing through the hoses when the measurements are made.</t>
  </si>
  <si>
    <t xml:space="preserve">                        **All 16 emitters must have the same pressure**</t>
  </si>
  <si>
    <t>Location A, Test 5</t>
  </si>
  <si>
    <t>Required for all emitter types.  All 16 emitters must be at the same pressure.</t>
  </si>
  <si>
    <t>Required for all emitter types.  All 28 emitters must be at the same pressure.</t>
  </si>
  <si>
    <t>Please Select From List</t>
  </si>
  <si>
    <t>This is the total area of the field dedicated to an individual tree, NOT the area under the canopy.</t>
  </si>
  <si>
    <t>Use a reasonable, manageable root zone depth, not the maximum depth a root may reach.</t>
  </si>
  <si>
    <t>Measure the days between irrigations from the start of the first irrigation to the start of next.</t>
  </si>
  <si>
    <t>Clay:</t>
  </si>
  <si>
    <t>EMITTER INFORMATION</t>
  </si>
  <si>
    <t>PC emitters only. Low  intermediate pressure.  Same emitters as Test 1.</t>
  </si>
  <si>
    <t>PC emitters only.  Intermediate pressure.  Same emitters as Test 1.</t>
  </si>
  <si>
    <t>PC emitters only. High Intermediate pressure.  Same emitters as Test 1.</t>
  </si>
  <si>
    <t>Number of emitters:</t>
  </si>
  <si>
    <t>This value should be 16. But, for example, if one bucket fell over, input 15.</t>
  </si>
  <si>
    <t>Rate the following causes of emitter plugging:</t>
  </si>
  <si>
    <t>Test 1 is required for all emitter types.</t>
  </si>
  <si>
    <t>For this question, remove five emitters with apparent low flows.                                                                                Take them apart to inspect for the cause of plugging.</t>
  </si>
  <si>
    <t>psi</t>
  </si>
  <si>
    <t>Hose 1:</t>
  </si>
  <si>
    <t>Hose 2:</t>
  </si>
  <si>
    <t>Hose 3:</t>
  </si>
  <si>
    <t>Hose 4:</t>
  </si>
  <si>
    <t>Hose 5:</t>
  </si>
  <si>
    <t>seconds</t>
  </si>
  <si>
    <t>minutes</t>
  </si>
  <si>
    <t>%</t>
  </si>
  <si>
    <t>Percentage of emitters that do this:</t>
  </si>
  <si>
    <t>Time some emitters run after most emitters stop:</t>
  </si>
  <si>
    <t>years</t>
  </si>
  <si>
    <t>Age of system:</t>
  </si>
  <si>
    <t>Percentage of applied water that runs off the field:</t>
  </si>
  <si>
    <t>Pump discharge pressure:</t>
  </si>
  <si>
    <t>Pressure downstream of filters and control valves:</t>
  </si>
  <si>
    <t>Total filter loss:</t>
  </si>
  <si>
    <t>Total pump control valve loss:</t>
  </si>
  <si>
    <t>Loss from throttled manual valves:</t>
  </si>
  <si>
    <t>acres</t>
  </si>
  <si>
    <t>Area with this combination:</t>
  </si>
  <si>
    <t>Collected volume:</t>
  </si>
  <si>
    <t>mL</t>
  </si>
  <si>
    <t>Collection time:</t>
  </si>
  <si>
    <t>Volume of water accumulated from all the emitters:</t>
  </si>
  <si>
    <t>Hose inlet pressure:</t>
  </si>
  <si>
    <t>hours</t>
  </si>
  <si>
    <t>days</t>
  </si>
  <si>
    <t>inches/day</t>
  </si>
  <si>
    <t>Crop ET during peak ET period:</t>
  </si>
  <si>
    <t>Irrigation frequency at peak ET:</t>
  </si>
  <si>
    <t>Set duration during peak ET:</t>
  </si>
  <si>
    <t>inches</t>
  </si>
  <si>
    <t>Wetted soil area per emitter :</t>
  </si>
  <si>
    <t>100% Root zone available water holding capacity:</t>
  </si>
  <si>
    <t>Wetted soil area per emitter:</t>
  </si>
  <si>
    <t>Area per plant  (row spacing x plant spacing):</t>
  </si>
  <si>
    <t>Area per plant (row spacing x plant spacing):</t>
  </si>
  <si>
    <t>All volume measurements are in MILLILITERS.</t>
  </si>
  <si>
    <t>Location A, Test 1:</t>
  </si>
  <si>
    <t>Location A, Test 2:</t>
  </si>
  <si>
    <t>Location A, Test 3:</t>
  </si>
  <si>
    <t>Location A, Test 4:</t>
  </si>
  <si>
    <t>Number of models/emitter designs used in the system:</t>
  </si>
  <si>
    <t>If every tree has the same combination, write  the number "1".</t>
  </si>
  <si>
    <t>(Low Quarter Infiltrated / Average Infiltrated)</t>
  </si>
  <si>
    <t>Pressure Ranges in each hose:</t>
  </si>
  <si>
    <t>Loc . 1close</t>
  </si>
  <si>
    <t>Loc. 1 distant</t>
  </si>
  <si>
    <t>Loc. 2 close</t>
  </si>
  <si>
    <t>Loc. 2 distant</t>
  </si>
  <si>
    <t>Loc. 3 close</t>
  </si>
  <si>
    <t>Loc. 3 distant</t>
  </si>
  <si>
    <t>Loc. 4 close</t>
  </si>
  <si>
    <t>Loc. 4 distant</t>
  </si>
  <si>
    <t>Loc. 5 close</t>
  </si>
  <si>
    <t>Loc. 5 distant</t>
  </si>
  <si>
    <t>Loc. 6 close</t>
  </si>
  <si>
    <t>Max P diff in a hose:</t>
  </si>
  <si>
    <t>Diff betweeen hose inlet pressures:</t>
  </si>
  <si>
    <t>max hose inlet P:</t>
  </si>
  <si>
    <t>min hose inlet P:</t>
  </si>
  <si>
    <t>Flushing time to get clear water from the end of the lowest, most distant hose:</t>
  </si>
  <si>
    <t>FIELD IDENTIFICATION</t>
  </si>
  <si>
    <t>JOB IDENTIFICATION</t>
  </si>
  <si>
    <t>Number of emitters per plant (emitter/plant ratio):</t>
  </si>
  <si>
    <t>Number of emitters that supply water to each plant:</t>
  </si>
  <si>
    <t>Individual emitter water volume values are not needed for Test 2.                                                                        Sum the total volume collected from all of the emitters during this test.</t>
  </si>
  <si>
    <t>Check upstream and downstream of filter if filter is downstream of pump discharge.</t>
  </si>
  <si>
    <t>Is there a partially closed (i.e., "throttled") manual valve near the pump discharge to reduce pressure?</t>
  </si>
  <si>
    <t>Select a hose with a relatively high pressure, or adjust the pressure so that it is relatively high.</t>
  </si>
  <si>
    <r>
      <t>ft</t>
    </r>
    <r>
      <rPr>
        <vertAlign val="superscript"/>
        <sz val="14"/>
        <color theme="1"/>
        <rFont val="Arial"/>
        <family val="2"/>
      </rPr>
      <t>2</t>
    </r>
  </si>
  <si>
    <r>
      <t>Location #</t>
    </r>
    <r>
      <rPr>
        <b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: Submain or regulated manifold closest to the pump.</t>
    </r>
  </si>
  <si>
    <r>
      <t>Location #</t>
    </r>
    <r>
      <rPr>
        <b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: Submain or regulated manifold most distant from the pump (or where the pressure is lowest).</t>
    </r>
  </si>
  <si>
    <r>
      <t>Location #</t>
    </r>
    <r>
      <rPr>
        <b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: Submain or regulated manifold at an intermediate distance from the pump.</t>
    </r>
  </si>
  <si>
    <r>
      <t>Location #</t>
    </r>
    <r>
      <rPr>
        <b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>: Intermediate submain or regulated manifold close to the pump.</t>
    </r>
  </si>
  <si>
    <r>
      <t>Location #</t>
    </r>
    <r>
      <rPr>
        <b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>: Intermediate submain or regulated manifold distant from the pump.</t>
    </r>
  </si>
  <si>
    <r>
      <t>Location #</t>
    </r>
    <r>
      <rPr>
        <b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>: Intermediate submain or regulated manifold.</t>
    </r>
  </si>
  <si>
    <r>
      <rPr>
        <b/>
        <u/>
        <sz val="11"/>
        <color indexed="8"/>
        <rFont val="Arial"/>
        <family val="2"/>
      </rPr>
      <t>Question #3</t>
    </r>
    <r>
      <rPr>
        <sz val="11"/>
        <color theme="1"/>
        <rFont val="Arial"/>
        <family val="2"/>
      </rPr>
      <t>:  Does the emitter or microsprayer or microsprinkler have a pressure compensating (PC) feature?</t>
    </r>
  </si>
  <si>
    <r>
      <rPr>
        <b/>
        <u/>
        <sz val="11"/>
        <color indexed="8"/>
        <rFont val="Arial"/>
        <family val="2"/>
      </rPr>
      <t>Location A</t>
    </r>
    <r>
      <rPr>
        <sz val="11"/>
        <color theme="1"/>
        <rFont val="Arial"/>
        <family val="2"/>
      </rPr>
      <t>: The middle of a hose (between the inlet and the downstream end) that is a "clean" area of the field.</t>
    </r>
  </si>
  <si>
    <r>
      <t>If there is only one spacing, only fill out the data for "</t>
    </r>
    <r>
      <rPr>
        <b/>
        <i/>
        <sz val="10"/>
        <color indexed="8"/>
        <rFont val="Arial"/>
        <family val="2"/>
      </rPr>
      <t>AREA NUMBER 1</t>
    </r>
    <r>
      <rPr>
        <i/>
        <sz val="10"/>
        <color indexed="8"/>
        <rFont val="Arial"/>
        <family val="2"/>
      </rPr>
      <t>". If there are two or three spacings, fill out the additional AREAS.</t>
    </r>
  </si>
  <si>
    <r>
      <rPr>
        <b/>
        <u/>
        <sz val="11"/>
        <color indexed="8"/>
        <rFont val="Arial"/>
        <family val="2"/>
      </rPr>
      <t>Location B</t>
    </r>
    <r>
      <rPr>
        <b/>
        <sz val="11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>The middle of an "average hose" in the field.</t>
    </r>
  </si>
  <si>
    <r>
      <rPr>
        <b/>
        <u/>
        <sz val="11"/>
        <color indexed="8"/>
        <rFont val="Arial"/>
        <family val="2"/>
      </rPr>
      <t>Location C</t>
    </r>
    <r>
      <rPr>
        <b/>
        <sz val="11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>At the downstream end of a hose at the most downstream end of the system.</t>
    </r>
  </si>
  <si>
    <t>Does not need to be a whole number, but must be at least 1. This is the ratio of emitters to plants.                              If there are two emitters for every one tree, the value would be "2".</t>
  </si>
  <si>
    <t>The average flow rate per emitter is automatically calculated from your emitter flow measurements.                                                                                                     Entering a value below overrides that value.</t>
  </si>
  <si>
    <t>Does not need to be a whole number, but must be at least 1. This is the ratio of emitters to plants.                                                 If there are two emitters for every one tree, the value would be "2".</t>
  </si>
  <si>
    <t>The average flow rate per emitter is automatically calculated from your emitter flow measurements.                                                                                                 Entering a value below overrides that value.</t>
  </si>
  <si>
    <t>Does not need to be a whole number, but must be at least 1. This is the ratio of emitters to plants.                                                                   If there are two emitters for every one tree, the value would be "2".</t>
  </si>
  <si>
    <t>The average flow rate per emitter is automatically calculated from your emitter flow measurements.                                                                                                                    Entering a value below overrides that value.</t>
  </si>
  <si>
    <t>There are differences in how many tests of emitter flows are to be measured in Location A.                                                                 Answer the following questions to determine which tests to perform at Location A.</t>
  </si>
  <si>
    <t>Individual emitter water volume values are not needed for Test 2.                                                                                         Sum the total volume collected from all of the emitters during this test.</t>
  </si>
  <si>
    <t>Individual emitter water volume values are not needed for Test 2.                                                                                            Sum the total volume collected from all of the emitters during this test.</t>
  </si>
  <si>
    <t>Individual emitter water volume values are not needed for Test 2.                                                                                                 Sum the total volume collected from all of the emitters during this test.</t>
  </si>
  <si>
    <r>
      <t xml:space="preserve">This is </t>
    </r>
    <r>
      <rPr>
        <b/>
        <i/>
        <sz val="10"/>
        <color indexed="8"/>
        <rFont val="Arial"/>
        <family val="2"/>
      </rPr>
      <t>NOT</t>
    </r>
    <r>
      <rPr>
        <i/>
        <sz val="10"/>
        <color indexed="8"/>
        <rFont val="Arial"/>
        <family val="2"/>
      </rPr>
      <t xml:space="preserve"> the ratio of emitters to plants. One emitter can supply water to multiple plants.                                                              If each emitter is spaced evenly between two plants, even though the emitter/plant ratio is 1,                                                              the number of emitters that supply water to each plant is 2.</t>
    </r>
  </si>
  <si>
    <r>
      <t xml:space="preserve">Test 2 is required for all emitter types, </t>
    </r>
    <r>
      <rPr>
        <b/>
        <i/>
        <u/>
        <sz val="10"/>
        <color indexed="8"/>
        <rFont val="Arial"/>
        <family val="2"/>
      </rPr>
      <t>except</t>
    </r>
    <r>
      <rPr>
        <i/>
        <sz val="10"/>
        <color indexed="8"/>
        <rFont val="Arial"/>
        <family val="2"/>
      </rPr>
      <t xml:space="preserve"> those for which you know the exponent = 0.5.                                                                    Use the same 16 emitters as Test 1.  Lower the pressure to about the lowest measured in the field.</t>
    </r>
  </si>
  <si>
    <t>Average emitter flow rate:</t>
  </si>
  <si>
    <t>Question Number</t>
  </si>
  <si>
    <t>Issue</t>
  </si>
  <si>
    <t>Issue number</t>
  </si>
  <si>
    <t>Value is not between 0 and 100%</t>
  </si>
  <si>
    <t>Error Number</t>
  </si>
  <si>
    <t>Number of errors:</t>
  </si>
  <si>
    <t>The computed flow rate per emitter was found to be:</t>
  </si>
  <si>
    <t>Note that differing plant spacings, emitter spacings, emitter flow rates, irrigation duration or frequency, plant ages, plant types, canopy cover, or ET rates in different blocks within a field qualify as multiple spacings.</t>
  </si>
  <si>
    <r>
      <t xml:space="preserve">You must answer ONE of the following questions with a "YES".                                                          There can only be </t>
    </r>
    <r>
      <rPr>
        <b/>
        <u/>
        <sz val="11"/>
        <color indexed="8"/>
        <rFont val="Arial"/>
        <family val="2"/>
      </rPr>
      <t>one</t>
    </r>
    <r>
      <rPr>
        <b/>
        <sz val="11"/>
        <color indexed="8"/>
        <rFont val="Arial"/>
        <family val="2"/>
      </rPr>
      <t xml:space="preserve"> "YES" answer.</t>
    </r>
  </si>
  <si>
    <t>If you answered "YES" to Question 3, perform Tests 1 through 5 at Location A.</t>
  </si>
  <si>
    <t>If you answered "YES" to Question 1, perform only Test 1 at Location A.</t>
  </si>
  <si>
    <t>If you answered "YES" to Question 2, perform only Tests 1 and 2 at Location A.</t>
  </si>
  <si>
    <t>These are notes pertaining to the development and updating of the workbook.</t>
  </si>
  <si>
    <t>"hidden" in a tab name implies it should be hidden when saved for distribution.</t>
  </si>
  <si>
    <t xml:space="preserve">For drop-down values, the cell under the drop-down list is locked. The output of </t>
  </si>
  <si>
    <t/>
  </si>
  <si>
    <t>Need only one "yes" answer.</t>
  </si>
  <si>
    <t>Need one "yes" answer.</t>
  </si>
  <si>
    <t>Hose pressure at emitters:</t>
  </si>
  <si>
    <t>Location of fertilizer injector with respect to filter:</t>
  </si>
  <si>
    <t>Location of pesticide injector with respect to filter:</t>
  </si>
  <si>
    <t>Location of acid injector with respect to filter:</t>
  </si>
  <si>
    <t>Location of gypsum injector with respect to filter:</t>
  </si>
  <si>
    <t>fertilizer Inj. Sys: Location of Injector</t>
  </si>
  <si>
    <t>pesticide Inj. Sys: Location of Injector</t>
  </si>
  <si>
    <t>acid Inj. Sys: Location of Injector</t>
  </si>
  <si>
    <t>gypsum Inj. Sys: Location of Injector</t>
  </si>
  <si>
    <t>No gypsum injection system</t>
  </si>
  <si>
    <t>No acid injection system</t>
  </si>
  <si>
    <t>No pesticide injection system</t>
  </si>
  <si>
    <t>No fertilizer injection system</t>
  </si>
  <si>
    <t>Do any of the injection systems use a throttling valve on the mainline to create a pressure differential?</t>
  </si>
  <si>
    <t>Frequency of acid injection:</t>
  </si>
  <si>
    <t>Frequency of chlorine or polymer injection:</t>
  </si>
  <si>
    <t>Downstream end of "uphill" side pressure:</t>
  </si>
  <si>
    <t>Middle of "uphill" side pressure:</t>
  </si>
  <si>
    <t>Middle of "downhill" side pressure:</t>
  </si>
  <si>
    <t>Downstream end of "downhill" side pressure:</t>
  </si>
  <si>
    <t>Middle of "uphill" side' pressure:</t>
  </si>
  <si>
    <r>
      <t xml:space="preserve">Pressure </t>
    </r>
    <r>
      <rPr>
        <b/>
        <sz val="11"/>
        <color indexed="8"/>
        <rFont val="Arial"/>
        <family val="2"/>
      </rPr>
      <t>loss</t>
    </r>
    <r>
      <rPr>
        <sz val="11"/>
        <color theme="1"/>
        <rFont val="Arial"/>
        <family val="2"/>
      </rPr>
      <t xml:space="preserve"> across hose entrance screens at heads of hoses:</t>
    </r>
  </si>
  <si>
    <r>
      <rPr>
        <b/>
        <sz val="11"/>
        <color indexed="8"/>
        <rFont val="Arial"/>
        <family val="2"/>
      </rPr>
      <t>Location A</t>
    </r>
    <r>
      <rPr>
        <sz val="11"/>
        <color indexed="8"/>
        <rFont val="Arial"/>
        <family val="2"/>
      </rPr>
      <t xml:space="preserve"> - The middle of a hose (midway between the inlet and the downstream end) that is a "clean" area of the field. Typically this is hydraulically close to the pump. Flow measurements must be taken at 16 emitters, all at the same pressure.</t>
    </r>
  </si>
  <si>
    <r>
      <rPr>
        <b/>
        <sz val="11"/>
        <color indexed="8"/>
        <rFont val="Arial"/>
        <family val="2"/>
      </rPr>
      <t>Location B</t>
    </r>
    <r>
      <rPr>
        <sz val="11"/>
        <color indexed="8"/>
        <rFont val="Arial"/>
        <family val="2"/>
      </rPr>
      <t xml:space="preserve"> - The middle of a hose (midway between the inlet and the downstream end) that is near the middle of the field. Flow measurements must be taken at 16 emitters, all at the same pressure.</t>
    </r>
  </si>
  <si>
    <r>
      <rPr>
        <b/>
        <sz val="11"/>
        <color indexed="8"/>
        <rFont val="Arial"/>
        <family val="2"/>
      </rPr>
      <t>Location C</t>
    </r>
    <r>
      <rPr>
        <sz val="11"/>
        <color indexed="8"/>
        <rFont val="Arial"/>
        <family val="2"/>
      </rPr>
      <t xml:space="preserve"> - The tail end of a hose that is at the tail end of the field. Flow measurements must be taken at 28 emitters, all at the same pressure.</t>
    </r>
  </si>
  <si>
    <t>Clay/silt:</t>
  </si>
  <si>
    <t>If no injection system, skip the next question.</t>
  </si>
  <si>
    <t>112,113,114</t>
  </si>
  <si>
    <t>197-207</t>
  </si>
  <si>
    <t>208-218</t>
  </si>
  <si>
    <t>219-229</t>
  </si>
  <si>
    <t>chlorine. Inj. Sys: Frequency</t>
  </si>
  <si>
    <t>This tab of this excel spreadsheet performs the DU calculations</t>
  </si>
  <si>
    <t>Table of Contents:</t>
  </si>
  <si>
    <t>Reconfigure data provided by the User on the Printout tab</t>
  </si>
  <si>
    <t>Calculate DU due to pressure differences</t>
  </si>
  <si>
    <t>Calculate DU due to other factors</t>
  </si>
  <si>
    <t>Calculate DU due to unequal drainage</t>
  </si>
  <si>
    <t>Calculate DU due to unequal spacing</t>
  </si>
  <si>
    <t>The typical field is shown in the picture below:</t>
  </si>
  <si>
    <t>Location 1:</t>
  </si>
  <si>
    <t>close</t>
  </si>
  <si>
    <t>distant</t>
  </si>
  <si>
    <t>Location 2:</t>
  </si>
  <si>
    <t>Location 3:</t>
  </si>
  <si>
    <t>Location 4:</t>
  </si>
  <si>
    <t>Location 5:</t>
  </si>
  <si>
    <t>Location 6:</t>
  </si>
  <si>
    <t>uphill</t>
  </si>
  <si>
    <t>downhill</t>
  </si>
  <si>
    <t>Emitter Location</t>
  </si>
  <si>
    <t>Legend</t>
  </si>
  <si>
    <t>Calculations</t>
  </si>
  <si>
    <t>Descriptions</t>
  </si>
  <si>
    <t>Information entered by the User</t>
  </si>
  <si>
    <t>Area 1</t>
  </si>
  <si>
    <t>Area 2</t>
  </si>
  <si>
    <t>Area 3</t>
  </si>
  <si>
    <t>Obtain values which were entered by the user:</t>
  </si>
  <si>
    <t>Calculate DU due to unequal drainage using the specified equation:</t>
  </si>
  <si>
    <t>1=select from list, 2=yes, 3=no</t>
  </si>
  <si>
    <t>The values for the set duration are during the highest ET period (reported in up to 3 locations):</t>
  </si>
  <si>
    <t>Determine the weighted average set duration (according to size in acres)</t>
  </si>
  <si>
    <t>Weighted average set duration:</t>
  </si>
  <si>
    <t>ac*min</t>
  </si>
  <si>
    <t>Summation of Areas:</t>
  </si>
  <si>
    <t>Weighted average = [sum of (acres*min)]/(sum of acres)</t>
  </si>
  <si>
    <t>Optional flow/emitter calc override for each area:</t>
  </si>
  <si>
    <t>Flow Data input by the User:</t>
  </si>
  <si>
    <t>Pressures input by the User in PSI:</t>
  </si>
  <si>
    <t>Test 1:</t>
  </si>
  <si>
    <t>Location A:</t>
  </si>
  <si>
    <t>Emitter #</t>
  </si>
  <si>
    <t>Test 2:</t>
  </si>
  <si>
    <t>Test 3:</t>
  </si>
  <si>
    <t>Test 4:</t>
  </si>
  <si>
    <t>Test 5:</t>
  </si>
  <si>
    <t>Average emitter flow</t>
  </si>
  <si>
    <t>calculate the average emitter flowrate based on above info: Q = liters / (hrs * # of emitters)</t>
  </si>
  <si>
    <t>Location B:</t>
  </si>
  <si>
    <t>Location C:</t>
  </si>
  <si>
    <t>Need to calculate the ratio of applied/ET for each area:</t>
  </si>
  <si>
    <t>Ratio = (Q/emitter) x Hrs x (#emitters/plant) / (Peak ET x Area/plant)</t>
  </si>
  <si>
    <t>Use this emitter flow rate for each area:</t>
  </si>
  <si>
    <t>Ratio:</t>
  </si>
  <si>
    <t>liters/day*plant</t>
  </si>
  <si>
    <t>Applied water = flow/emitter x Hrs x emitters/plant</t>
  </si>
  <si>
    <t>liters/days*plant</t>
  </si>
  <si>
    <t>ET = Peak ET x area/plant x conversion factors</t>
  </si>
  <si>
    <t>ratio</t>
  </si>
  <si>
    <t>Now, multiply the ratio by each respective area:</t>
  </si>
  <si>
    <t>Ratio x Area</t>
  </si>
  <si>
    <t>Acres</t>
  </si>
  <si>
    <t>Now, utilize the final equation:</t>
  </si>
  <si>
    <t>DU due to unequal spacing:</t>
  </si>
  <si>
    <t>First, we need to know which method will be utilized to determine the exponent.</t>
  </si>
  <si>
    <t>note: 1 = select, 2=Yes, 3=No</t>
  </si>
  <si>
    <t>Calculate exponent for situation #2 above:</t>
  </si>
  <si>
    <t>utilizing Location A, Test 1 and 2, the exponent can be calculated:</t>
  </si>
  <si>
    <t>Display pressure for each test again:</t>
  </si>
  <si>
    <t>Test 1</t>
  </si>
  <si>
    <t>Test 2</t>
  </si>
  <si>
    <t>Log of average low pressure / high pressure)</t>
  </si>
  <si>
    <t>Log of average low flow / average high flow)</t>
  </si>
  <si>
    <t>Exponent to use for Situation #2</t>
  </si>
  <si>
    <t>List the Pressures obtained by the User:</t>
  </si>
  <si>
    <t>Rank</t>
  </si>
  <si>
    <t>Case1</t>
  </si>
  <si>
    <t>Case2</t>
  </si>
  <si>
    <t>Case3</t>
  </si>
  <si>
    <t>Note: first rank the values, then use vlookup to sort the pressures</t>
  </si>
  <si>
    <t>Pressure ranges, psi</t>
  </si>
  <si>
    <t>Predicted LPH for various Pressure ranges</t>
  </si>
  <si>
    <t>Non-zero</t>
  </si>
  <si>
    <t>LPH</t>
  </si>
  <si>
    <t>values</t>
  </si>
  <si>
    <t>PSI</t>
  </si>
  <si>
    <t>Total ml</t>
  </si>
  <si>
    <t>min</t>
  </si>
  <si>
    <t># of emitters</t>
  </si>
  <si>
    <t>Test #</t>
  </si>
  <si>
    <t>add up # of emitters</t>
  </si>
  <si>
    <t>avg. LPH/emitter</t>
  </si>
  <si>
    <t>m</t>
  </si>
  <si>
    <t>Number results:</t>
  </si>
  <si>
    <t>Total # of Values:</t>
  </si>
  <si>
    <t># values in Lq:</t>
  </si>
  <si>
    <t>continuously add flowrates</t>
  </si>
  <si>
    <t>These calculations are for situation #3 (PC emitters)</t>
  </si>
  <si>
    <t>Determine which situation is to be used:</t>
  </si>
  <si>
    <t>DUlq (PC emitters):</t>
  </si>
  <si>
    <t>Average Q of Lq:</t>
  </si>
  <si>
    <t>Average Q of all:</t>
  </si>
  <si>
    <t>Pressures in no order</t>
  </si>
  <si>
    <t>Non Zero Values:</t>
  </si>
  <si>
    <t>Lookup Sum of Q in Lq:</t>
  </si>
  <si>
    <t>DUlq (NonPC, Not .5):</t>
  </si>
  <si>
    <t>DUlq (Exponent = .5):</t>
  </si>
  <si>
    <t>Sorted pressure</t>
  </si>
  <si>
    <t>Case 1 accumulated Q</t>
  </si>
  <si>
    <t>Case 2 accumulated Q</t>
  </si>
  <si>
    <t>These calculations are for                  situation (case) #1 (exponent = .5)</t>
  </si>
  <si>
    <t>These calculations are for                  situation (case) #2 (Not PC, Exponent not known)</t>
  </si>
  <si>
    <t>Summary table of DU due to Pressure:</t>
  </si>
  <si>
    <t>DU with situation #2 (Not PC, Exponent not known)</t>
  </si>
  <si>
    <t>DU with situation #3 (PC emitters)</t>
  </si>
  <si>
    <t>DU due to pressure differences:</t>
  </si>
  <si>
    <t>Case #</t>
  </si>
  <si>
    <t>DU calc.</t>
  </si>
  <si>
    <t>Information for observations of Pressure Differences throughout system.</t>
  </si>
  <si>
    <t>Explanation of equation:</t>
  </si>
  <si>
    <t>n = number of emitters per plant (number of emitters that supply water to a plant)</t>
  </si>
  <si>
    <t>the main portion of the equation basically averages the sum of Qmin/Qavg (for each of the 3 measured areas)</t>
  </si>
  <si>
    <t>DUlq (other, area 1):</t>
  </si>
  <si>
    <t>Non zero values</t>
  </si>
  <si>
    <t>Number Results</t>
  </si>
  <si>
    <t>Accumulated flows</t>
  </si>
  <si>
    <t>Sorted volumes</t>
  </si>
  <si>
    <t>Calc. flow lph</t>
  </si>
  <si>
    <t>Collection time, minutes</t>
  </si>
  <si>
    <t>DUlq (other, area 2):</t>
  </si>
  <si>
    <t>DUlq (other, area 3):</t>
  </si>
  <si>
    <t>Average DU</t>
  </si>
  <si>
    <t>Determine the "n" value to use for this equatioin:</t>
  </si>
  <si>
    <t>Input all information into DU other equatioin:</t>
  </si>
  <si>
    <t>DU due to "other" causes:</t>
  </si>
  <si>
    <t>Remove any errors from the ratios (blank for no value):</t>
  </si>
  <si>
    <t>minimum ratio value / (sum of area x ratio / sum of area)</t>
  </si>
  <si>
    <t>remove any errors from the (ratio x area) cells (0 for no value):</t>
  </si>
  <si>
    <t>Summary</t>
  </si>
  <si>
    <t>DU pressure</t>
  </si>
  <si>
    <t>DU other</t>
  </si>
  <si>
    <t>DU spacing</t>
  </si>
  <si>
    <t>DU drainage</t>
  </si>
  <si>
    <t>Calc. DU</t>
  </si>
  <si>
    <t>1-DU</t>
  </si>
  <si>
    <t>In order to determine the percentage of non uniformity caused by each type of DU:</t>
  </si>
  <si>
    <t>list the calculated DU values</t>
  </si>
  <si>
    <t>sum up the 1-DU column</t>
  </si>
  <si>
    <t>calculate the 1-DU:</t>
  </si>
  <si>
    <t>Total:</t>
  </si>
  <si>
    <t>Calculate percentage of non-uniformity due to each problem</t>
  </si>
  <si>
    <t>percentage:</t>
  </si>
  <si>
    <t>This section sorts the pressure/flow tests input by the user</t>
  </si>
  <si>
    <t>(they should already be sorted, but this verifies that)</t>
  </si>
  <si>
    <t>Total ML</t>
  </si>
  <si>
    <t>Minutes</t>
  </si>
  <si>
    <t>show P again</t>
  </si>
  <si>
    <t>Sort P values</t>
  </si>
  <si>
    <t>Redisplay table</t>
  </si>
  <si>
    <t>Pressure</t>
  </si>
  <si>
    <t>ML</t>
  </si>
  <si>
    <t># emitters</t>
  </si>
  <si>
    <t>Values from sorted table at AE60:AH66</t>
  </si>
  <si>
    <t>Sort</t>
  </si>
  <si>
    <t>Flows</t>
  </si>
  <si>
    <t>Number</t>
  </si>
  <si>
    <t>Results</t>
  </si>
  <si>
    <t>continuously</t>
  </si>
  <si>
    <t>add flows</t>
  </si>
  <si>
    <t>Need to re sort flowrates for PC emitters (sorting the pressures is not necessarily the same as sorting flows)</t>
  </si>
  <si>
    <t>global DU</t>
  </si>
  <si>
    <t xml:space="preserve">16 volume measurements are required. If less than 16 are obtained, either re-perform the test or estimate the missing values. </t>
  </si>
  <si>
    <t xml:space="preserve">28 volume measurements are required.                                                                                                                                                                          If less than 28 are obtained, either re-perform the test or estimate the missing values. </t>
  </si>
  <si>
    <t>Summary of DU other from the three locations:</t>
  </si>
  <si>
    <t>Sum DU's from all locations and divide by number of locations (basically obtain the average DU from all locations):</t>
  </si>
  <si>
    <t>Calculate (estimated) flow for each situation (exponent shown below):</t>
  </si>
  <si>
    <t>DU with situation #1 (exponent = 0.5)</t>
  </si>
  <si>
    <t xml:space="preserve">If you answered "Yes" above, answer the following 2 questions. </t>
  </si>
  <si>
    <t>Units of over-ride flow rate:</t>
  </si>
  <si>
    <t>This value could be computed by performing a flow test or estimated.                                                                                   This is the true emitter flow rate during operation, not the nominal emitter flow rate.</t>
  </si>
  <si>
    <t>Over-ride flow rate (gph, lph, or mL/min):</t>
  </si>
  <si>
    <t>Computed flow in lph:</t>
  </si>
  <si>
    <t>1=select from list, 2=gph, 3=lph, 4=ml/min</t>
  </si>
  <si>
    <t>ml/min</t>
  </si>
  <si>
    <t>If you know the emitter exponent is about 0.5, it is more accurate to assume 0.5 than to do in-field calculations.</t>
  </si>
  <si>
    <t>If the emitter exponent is not known to be 0.5 and the emitters are not pressure compensating, you must perform 2 flow tests to determine the emitter exponent.</t>
  </si>
  <si>
    <t>If the emitter is pressure compensating, you must perform five tests to create a pressure-flow rate curve.</t>
  </si>
  <si>
    <t xml:space="preserve">DISTRIBUTION UNIFORMITY PROBLEMS - </t>
  </si>
  <si>
    <t>PERCENT OF TOTAL NON-UNIFORMITY DUE TO EACH PROBLEM:</t>
  </si>
  <si>
    <t>allows values to appear in column g, and be used in formulas without allowing</t>
  </si>
  <si>
    <t>For distribution, columns a, b, and g should be hidden, then the worksheet protected. This</t>
  </si>
  <si>
    <t xml:space="preserve">a user to input a value other than the selections. Columns a and b are used for </t>
  </si>
  <si>
    <t>Tortuous path</t>
  </si>
  <si>
    <t>Rotating microsprinkler</t>
  </si>
  <si>
    <t>Non-rotating microsprayer</t>
  </si>
  <si>
    <r>
      <rPr>
        <b/>
        <u/>
        <sz val="11"/>
        <color indexed="8"/>
        <rFont val="Arial"/>
        <family val="2"/>
      </rPr>
      <t>Question #1</t>
    </r>
    <r>
      <rPr>
        <sz val="11"/>
        <color theme="1"/>
        <rFont val="Arial"/>
        <family val="2"/>
      </rPr>
      <t>:  Do you know that the discharge exponent of the emitters is about 0.5 (non-pressure compensating microsprayers, non-pressure compensating microsprinklers, clean tortuous path emitters, and most tapes)?</t>
    </r>
  </si>
  <si>
    <r>
      <rPr>
        <b/>
        <u/>
        <sz val="11"/>
        <color indexed="8"/>
        <rFont val="Arial"/>
        <family val="2"/>
      </rPr>
      <t>Question #2</t>
    </r>
    <r>
      <rPr>
        <sz val="11"/>
        <color theme="1"/>
        <rFont val="Arial"/>
        <family val="2"/>
      </rPr>
      <t>:  Is the emitter non-pressure compensating, and the discharge exponent is not known to equal 0.5 ?</t>
    </r>
  </si>
  <si>
    <t>units</t>
  </si>
  <si>
    <t>If no acid injection, select "Never".</t>
  </si>
  <si>
    <t>If no chlorine or polymer injection, select "Never".</t>
  </si>
  <si>
    <t>Scheduling:</t>
  </si>
  <si>
    <t>Values Used:</t>
  </si>
  <si>
    <t>Area (acres)</t>
  </si>
  <si>
    <t>area/plant (ft^2)</t>
  </si>
  <si>
    <t>emitters/ plant</t>
  </si>
  <si>
    <t>flow rate</t>
  </si>
  <si>
    <t>wetted soil area (ft^2)</t>
  </si>
  <si>
    <t>AWHC (in)</t>
  </si>
  <si>
    <t>Set duration (hrs)</t>
  </si>
  <si>
    <t>Irrig. Freq. (days)</t>
  </si>
  <si>
    <t>ET (in/day)</t>
  </si>
  <si>
    <t>Area (1):</t>
  </si>
  <si>
    <t>Area (2):</t>
  </si>
  <si>
    <t>Area (3):</t>
  </si>
  <si>
    <t>Calculate adjusted available water holding capacity taking into acocunt the percentage of the wetted soil volume.</t>
  </si>
  <si>
    <t>Adj. AWHC =</t>
  </si>
  <si>
    <t>in</t>
  </si>
  <si>
    <t>(199)*(203)*(204)/(198)</t>
  </si>
  <si>
    <t>(210)*(214)*(215)/(209)</t>
  </si>
  <si>
    <t>(221)*(2223)*(2226)/(220)</t>
  </si>
  <si>
    <t>input AWHC=</t>
  </si>
  <si>
    <t>(204)</t>
  </si>
  <si>
    <t>(215)</t>
  </si>
  <si>
    <t>(226)</t>
  </si>
  <si>
    <t>if Adj. AWHC &gt; input AWHC, Adj. AWHC = input AWHC:</t>
  </si>
  <si>
    <t>Gross Applicaton Rate:</t>
  </si>
  <si>
    <t>Converted Flow:</t>
  </si>
  <si>
    <t>Area 1 Q:</t>
  </si>
  <si>
    <t>Area 2 Q:</t>
  </si>
  <si>
    <t>Area 3 Q:</t>
  </si>
  <si>
    <t>GAP (1):</t>
  </si>
  <si>
    <t>GAP (2):</t>
  </si>
  <si>
    <t>GAP (3):</t>
  </si>
  <si>
    <t>Adjusted Emission Uniformity:</t>
  </si>
  <si>
    <t>other:</t>
  </si>
  <si>
    <t>drainage:</t>
  </si>
  <si>
    <t>pressure:</t>
  </si>
  <si>
    <t>average emitters/plant</t>
  </si>
  <si>
    <t>emitters/plant</t>
  </si>
  <si>
    <t>area</t>
  </si>
  <si>
    <t>average emitters/plant (weighted by area):</t>
  </si>
  <si>
    <t>Q#</t>
  </si>
  <si>
    <t>Trigger:</t>
  </si>
  <si>
    <t>Output Sentence:</t>
  </si>
  <si>
    <t>results</t>
  </si>
  <si>
    <t>Duother =</t>
  </si>
  <si>
    <t>(from "Computations-Hidden")</t>
  </si>
  <si>
    <t>other =</t>
  </si>
  <si>
    <t>Drainage:</t>
  </si>
  <si>
    <t>Dudrainage =</t>
  </si>
  <si>
    <t>Dupressure =</t>
  </si>
  <si>
    <t>y</t>
  </si>
  <si>
    <t xml:space="preserve">AEU = </t>
  </si>
  <si>
    <t>adjust AEU for runoff:</t>
  </si>
  <si>
    <t xml:space="preserve">AEUnew = </t>
  </si>
  <si>
    <t>Net Application Rate for Each Area:</t>
  </si>
  <si>
    <t>NAR (1):</t>
  </si>
  <si>
    <t>NAR (2):</t>
  </si>
  <si>
    <t>NAR (3):</t>
  </si>
  <si>
    <t>GH (1):</t>
  </si>
  <si>
    <t>GH (2):</t>
  </si>
  <si>
    <t>GH (3):</t>
  </si>
  <si>
    <t>PH (2):</t>
  </si>
  <si>
    <t>PH (1):</t>
  </si>
  <si>
    <t>PH (3):</t>
  </si>
  <si>
    <t>hrs to deplete GH (1)</t>
  </si>
  <si>
    <t>hrs to deplete GH (2)</t>
  </si>
  <si>
    <t>hrs to deplete GH (3)</t>
  </si>
  <si>
    <t>Gross hours to fill 50% of wetted soil reservoir:</t>
  </si>
  <si>
    <t>Hours for plants to deplete 50% of wetted soil reservoir</t>
  </si>
  <si>
    <t>Assume MAD is 50% of total AWHC</t>
  </si>
  <si>
    <t>hrs</t>
  </si>
  <si>
    <t>Adj. AWHC:</t>
  </si>
  <si>
    <t>aAWHC (1):</t>
  </si>
  <si>
    <t>aAWHC (2):</t>
  </si>
  <si>
    <t>aAWHC (3):</t>
  </si>
  <si>
    <t>(13)</t>
  </si>
  <si>
    <t>% runoff =</t>
  </si>
  <si>
    <t>AREA NUMBER:</t>
  </si>
  <si>
    <t>Available Water Holding Capacity (AWHC, inches):</t>
  </si>
  <si>
    <t>Gross Application Rate (in/hr):</t>
  </si>
  <si>
    <t>Net Application Rate (in/hr):</t>
  </si>
  <si>
    <t>AWHC adjusted for percent wetted area (in):</t>
  </si>
  <si>
    <t>in/hr</t>
  </si>
  <si>
    <t>MANAGEMENT INFORMATION</t>
  </si>
  <si>
    <t>Hours needed for plant to deplete 50% of the wetted soil reservoir during the peak water use period. This assumes the emitters are not operating right then at that location (hours):</t>
  </si>
  <si>
    <t>Set duration during peak ET (hours):</t>
  </si>
  <si>
    <t>Irrigation frequency during peak ET (hours):</t>
  </si>
  <si>
    <t>CURRENT SCHEDULING</t>
  </si>
  <si>
    <t>Result #</t>
  </si>
  <si>
    <t>These values are returned in "Results: Basic Data"</t>
  </si>
  <si>
    <t>These values are returned in "Results: Management Information"</t>
  </si>
  <si>
    <t>coefficients of variation for each test:</t>
  </si>
  <si>
    <t>Average coefficient of variation- used for recommendations:</t>
  </si>
  <si>
    <t>Mean Flow:</t>
  </si>
  <si>
    <t>st.dev.:</t>
  </si>
  <si>
    <t>Test A1:</t>
  </si>
  <si>
    <t>cA1=sdA1/mfA1 =</t>
  </si>
  <si>
    <t>Test B:</t>
  </si>
  <si>
    <t>cB=sdB/mfB =</t>
  </si>
  <si>
    <t>Test C:</t>
  </si>
  <si>
    <t>cC=sdC/mfC =</t>
  </si>
  <si>
    <t>Average Coefficient = (cA1+cB+cC)/3 =</t>
  </si>
  <si>
    <t>Assumptions regarding AC:</t>
  </si>
  <si>
    <t>1. If AC&lt;0.06, then MV is not a problem. However, plugging should be examined.</t>
  </si>
  <si>
    <t>2. The existence of plugging is verified by:</t>
  </si>
  <si>
    <t>a. Visual evidence (questions 231-240)</t>
  </si>
  <si>
    <t>b. a lower adjusted mean at test C vs test A1</t>
  </si>
  <si>
    <t>3. If 0.15&gt;AC&gt;0.06 and there is plugging, but an emitter with no moving partts, assume no MV contribution.</t>
  </si>
  <si>
    <t>4. if 0.15&gt;AC&gt;0.06, and there is no evidence of plugging, and no sand and little bacteria is caught in the screen, assume total contribution is MV</t>
  </si>
  <si>
    <t>5. If AC&gt;=0.15, list b oth plugging and MV as possible causes</t>
  </si>
  <si>
    <t>sand&gt;none:</t>
  </si>
  <si>
    <t>precip&gt;none:</t>
  </si>
  <si>
    <t>bact&gt;slight:</t>
  </si>
  <si>
    <t>insects&gt;slight:</t>
  </si>
  <si>
    <t>plastic parts&gt;slight:</t>
  </si>
  <si>
    <t>Flag 1 (FG):</t>
  </si>
  <si>
    <t>mean discharge test B:</t>
  </si>
  <si>
    <t>mean discharge test A1:</t>
  </si>
  <si>
    <t>Test A1 average emitter pressure:</t>
  </si>
  <si>
    <t>Test B average emitter pressure:</t>
  </si>
  <si>
    <t>X (exponent):</t>
  </si>
  <si>
    <t>Case 1: (x=0.5)</t>
  </si>
  <si>
    <t>Case 2: (not Pc, X unk)</t>
  </si>
  <si>
    <t>Case 3: (PC)</t>
  </si>
  <si>
    <t>A1^x</t>
  </si>
  <si>
    <t>B^x</t>
  </si>
  <si>
    <t>Test:</t>
  </si>
  <si>
    <t>Test to use:</t>
  </si>
  <si>
    <t>test&lt;0.94:</t>
  </si>
  <si>
    <t>clay&gt;slight:</t>
  </si>
  <si>
    <t>algae&gt;slight:</t>
  </si>
  <si>
    <t>Flag 2 (FL):</t>
  </si>
  <si>
    <t>Flag 1 if plugging exists:</t>
  </si>
  <si>
    <t>Flag 2 (FL) for significant material caught in nylon sock:</t>
  </si>
  <si>
    <t>Flag 3 (FB) emitters with moving parts:</t>
  </si>
  <si>
    <t>Spinning microsprayer or pressure compensating emitter present:</t>
  </si>
  <si>
    <t>Flag 3 (FB):</t>
  </si>
  <si>
    <t>little variation, minor plugging</t>
  </si>
  <si>
    <t>media filter</t>
  </si>
  <si>
    <t>AND(0.06&lt;AC&lt;0.15,FL=0,FG=0)</t>
  </si>
  <si>
    <t>needs plugging causes</t>
  </si>
  <si>
    <t>AND(0.06&lt;AC&lt;0.15,FB=0,OR(FL=1,FG=1))</t>
  </si>
  <si>
    <t>AND(0.06&lt;AC&lt;0.15,FB=1,OR(FL=1,FG=1))</t>
  </si>
  <si>
    <t>major variation, no plugging</t>
  </si>
  <si>
    <t>major variation, cannot isolate component</t>
  </si>
  <si>
    <t>variation, but no plugging</t>
  </si>
  <si>
    <t>variation, plugging, no moving parts</t>
  </si>
  <si>
    <t>major variation, plugging, no moving parts</t>
  </si>
  <si>
    <t>variation, plugging, moving parts</t>
  </si>
  <si>
    <t>high variation, plugging, moving parts</t>
  </si>
  <si>
    <t>little variation, clean emitters</t>
  </si>
  <si>
    <t>Estimate of excess pressure:</t>
  </si>
  <si>
    <t>parameter</t>
  </si>
  <si>
    <t>tubular screen</t>
  </si>
  <si>
    <t>sand separator</t>
  </si>
  <si>
    <t>disc filter</t>
  </si>
  <si>
    <t>"vacuum" tubular filter</t>
  </si>
  <si>
    <t>present?</t>
  </si>
  <si>
    <t>SUM:</t>
  </si>
  <si>
    <t>CT=</t>
  </si>
  <si>
    <t>discharge pressure =</t>
  </si>
  <si>
    <t>downstream pressure =</t>
  </si>
  <si>
    <t>value to add (psi)</t>
  </si>
  <si>
    <t>KT=</t>
  </si>
  <si>
    <t>KS=</t>
  </si>
  <si>
    <t>KS = excess pressure loss = KT-CT; if KS&lt;0, then KS = 0</t>
  </si>
  <si>
    <t>KT = true pressure loss through filter and control valves = discharge pressure - downstream pressure</t>
  </si>
  <si>
    <t>CT = estimated / theoretical pressure loss across filters and misc = sum of all true +2(misc)</t>
  </si>
  <si>
    <t>miscellaneous</t>
  </si>
  <si>
    <t>KZ = total filter loss-CT+2; if KZ&lt;0, KZ=0</t>
  </si>
  <si>
    <t>KZ =</t>
  </si>
  <si>
    <t>control valve loss (#39) =</t>
  </si>
  <si>
    <t>total filter loss (#38) =</t>
  </si>
  <si>
    <t>KQ =</t>
  </si>
  <si>
    <t>KR = throttled manual loss</t>
  </si>
  <si>
    <t>throttled manual loss (#40) =</t>
  </si>
  <si>
    <t>KR =</t>
  </si>
  <si>
    <t>KQ = control valve loss - 6; if KQ&lt;0, KQ=0</t>
  </si>
  <si>
    <t>If KU &gt; KS, KS = KU</t>
  </si>
  <si>
    <t>KU = KZ + KQ + KR</t>
  </si>
  <si>
    <t>KU =</t>
  </si>
  <si>
    <t>KS =</t>
  </si>
  <si>
    <t>OPTIONAL VALUES:</t>
  </si>
  <si>
    <t>Flag 1B:</t>
  </si>
  <si>
    <t>Flag 1A:</t>
  </si>
  <si>
    <t>(triggered if Test&lt;0.94)</t>
  </si>
  <si>
    <t>AND(AC &gt;=0.15,FB=0,OR(FG=1,FL=1))</t>
  </si>
  <si>
    <t>AND(AC &gt;=0.15,FB=1,OR(FG=1,FL=1))</t>
  </si>
  <si>
    <t>AND(AC &gt;=0.15,OR(FG=1,FL=1))</t>
  </si>
  <si>
    <t>AND(AC &gt;=0.15,FL=0,FG=0)</t>
  </si>
  <si>
    <t>AND(AC &lt;= 0.06, FG=0, FL=0)</t>
  </si>
  <si>
    <t>AND(AC&lt;=0.06, OR(FG=1,FL=1))</t>
  </si>
  <si>
    <t>Estimate of runoff (percent of water applied):</t>
  </si>
  <si>
    <t>estimated percentage of applied water that runs off the field (#13) =</t>
  </si>
  <si>
    <t>always</t>
  </si>
  <si>
    <t>Emission Uniformity:</t>
  </si>
  <si>
    <t>EU = 100 * WC * WD * WE * WU</t>
  </si>
  <si>
    <t>WC:</t>
  </si>
  <si>
    <t>(this is the same as the "other" calculation in the Scheduling-Hidden tab)</t>
  </si>
  <si>
    <t>WC =</t>
  </si>
  <si>
    <t>(taken from "other" in "Scheduling-Hidden" tab - B70)</t>
  </si>
  <si>
    <t xml:space="preserve">WD: </t>
  </si>
  <si>
    <t>WD =</t>
  </si>
  <si>
    <t>pressure variation component (also calculated in "scheduling-Hidden" tab)</t>
  </si>
  <si>
    <t xml:space="preserve">WE: </t>
  </si>
  <si>
    <t>WE =</t>
  </si>
  <si>
    <t>WU:</t>
  </si>
  <si>
    <t xml:space="preserve">WE = DU drainage </t>
  </si>
  <si>
    <t xml:space="preserve">WU = DU spacing </t>
  </si>
  <si>
    <t>WU =</t>
  </si>
  <si>
    <t>(from "DU Computations-Hidden" tab)</t>
  </si>
  <si>
    <t>WD = DU pressure</t>
  </si>
  <si>
    <t>EU =</t>
  </si>
  <si>
    <t>Hose Data:</t>
  </si>
  <si>
    <t>Average hose inlet pressure:</t>
  </si>
  <si>
    <t>AHIP=</t>
  </si>
  <si>
    <t>max IP =</t>
  </si>
  <si>
    <t>min IP =</t>
  </si>
  <si>
    <t>difference between hose inlet pressures:</t>
  </si>
  <si>
    <t>Max pressure difference within a hose:</t>
  </si>
  <si>
    <t>Max =</t>
  </si>
  <si>
    <t>Min =</t>
  </si>
  <si>
    <t>Diff =</t>
  </si>
  <si>
    <t>maximum difference =</t>
  </si>
  <si>
    <t xml:space="preserve">           Minor plugging Problems</t>
  </si>
  <si>
    <t xml:space="preserve">           Emitter component or design variability is a major problem</t>
  </si>
  <si>
    <t xml:space="preserve">           There may be significant variability in emitter component or design variability</t>
  </si>
  <si>
    <t xml:space="preserve">           Possible serious plugging problems</t>
  </si>
  <si>
    <t xml:space="preserve">           Serious plugging problems</t>
  </si>
  <si>
    <t xml:space="preserve">            There may be significant variability in emitter component or design variability</t>
  </si>
  <si>
    <t xml:space="preserve">            Minor plugging problems</t>
  </si>
  <si>
    <t xml:space="preserve">           Possible plugging problems</t>
  </si>
  <si>
    <t>"</t>
  </si>
  <si>
    <t>Loc. 1</t>
  </si>
  <si>
    <t>Loc. 2</t>
  </si>
  <si>
    <t>Loc. 3</t>
  </si>
  <si>
    <t>Loc. 4</t>
  </si>
  <si>
    <t>Loc 5</t>
  </si>
  <si>
    <t>Loc. 6</t>
  </si>
  <si>
    <t xml:space="preserve">          Maximum pressure difference within a hose:</t>
  </si>
  <si>
    <t>(42) throttled valve = yes</t>
  </si>
  <si>
    <t>(34) throttled valve = yes</t>
  </si>
  <si>
    <t>(28) = d/s</t>
  </si>
  <si>
    <t>(31) = d/s</t>
  </si>
  <si>
    <t>(45) = no</t>
  </si>
  <si>
    <t>KS&gt;0</t>
  </si>
  <si>
    <t>any other problems noted</t>
  </si>
  <si>
    <t>(39)&gt;4 psi</t>
  </si>
  <si>
    <t>Average manifold inlet pressure:</t>
  </si>
  <si>
    <t>AMIP=</t>
  </si>
  <si>
    <t>difference between manifold inlet pressures:</t>
  </si>
  <si>
    <t>stdev=</t>
  </si>
  <si>
    <t>15% of avg</t>
  </si>
  <si>
    <t>diff&gt;.15avg</t>
  </si>
  <si>
    <t>(13)&gt;0</t>
  </si>
  <si>
    <r>
      <t>GLOBAL SYSTEM DU</t>
    </r>
    <r>
      <rPr>
        <vertAlign val="subscript"/>
        <sz val="11"/>
        <color theme="1"/>
        <rFont val="Arial"/>
        <family val="2"/>
      </rPr>
      <t xml:space="preserve">LQ </t>
    </r>
    <r>
      <rPr>
        <sz val="11"/>
        <color theme="1"/>
        <rFont val="Arial"/>
        <family val="2"/>
      </rPr>
      <t>. . . . . . . . . . . . . . . . . . . . . . . . . . . . . . . . . . . . . . . . . . . . . . . . . . . . . . . . . . . . . . . . . . . . . . . . . . . . . . . . .</t>
    </r>
  </si>
  <si>
    <t>pmin&lt;=3psi</t>
  </si>
  <si>
    <t>Cannot calculate x (option 2) and fill out tests 3-5 at Location A. Remove excess data or change test type to PC emitters (option 3).</t>
  </si>
  <si>
    <t>Cannot assume x = 0.5 (option 1) and fill out tests 2-5 at Location A. Remove excess data or change test type.</t>
  </si>
  <si>
    <t>AND(any plugging found, (35)flushing freq&lt;weekly, (230)flush time&gt;15 sec)</t>
  </si>
  <si>
    <t>AND(any plugging found,(32)chlor/polymer injection freq&lt;weekly, (235)precip&gt;none)</t>
  </si>
  <si>
    <t>AND(any plugging found, (32)chlor/polymer freq&gt;=weekly,(235)precip&gt;none, (33)acid&lt;weekly)</t>
  </si>
  <si>
    <t>AND(any plugging found,(235)precipitate&gt;none)</t>
  </si>
  <si>
    <t>(240) cracks and leaks = slight</t>
  </si>
  <si>
    <t>(240) cracks and leaks = medium</t>
  </si>
  <si>
    <t>(240) cracks and leaks = major</t>
  </si>
  <si>
    <t>Duother&lt;0.96, any contam(231-239)&gt;none</t>
  </si>
  <si>
    <t>DUother&gt;=0.96, any contam(231-239)&gt;none</t>
  </si>
  <si>
    <t>DUother&gt;=0.96, no dirt/plugging(231-239); no comment</t>
  </si>
  <si>
    <t>Gross hours of irrigation required at a point to fill up 50% of the wetted soil reservoir (hours):</t>
  </si>
  <si>
    <t>Hose IP =</t>
  </si>
  <si>
    <t>Avg=</t>
  </si>
  <si>
    <t>StDev=</t>
  </si>
  <si>
    <t>diff&gt;0.15avg</t>
  </si>
  <si>
    <t>avg hose inlet pressure an issue?</t>
  </si>
  <si>
    <t>0.915-1.000</t>
  </si>
  <si>
    <t>0.875-0.914</t>
  </si>
  <si>
    <t>if any pressure problems (below)</t>
  </si>
  <si>
    <t xml:space="preserve">      Other causes of flow variation</t>
  </si>
  <si>
    <t>" and 44(hose regs)=no</t>
  </si>
  <si>
    <t>" and 44(hose regs)=yes</t>
  </si>
  <si>
    <t>along any manifold, Hose IP diff&gt;.15avg</t>
  </si>
  <si>
    <t>" and max(106-110) &gt;=0.5</t>
  </si>
  <si>
    <t>HIP var not a problem and max(106-110) &gt;0.5</t>
  </si>
  <si>
    <t>The field DU is considered excellent</t>
  </si>
  <si>
    <t>The field DU is considered good</t>
  </si>
  <si>
    <t>The field DU is considered OK</t>
  </si>
  <si>
    <t>The field DU is considered low</t>
  </si>
  <si>
    <t>The field DU is considered poor</t>
  </si>
  <si>
    <t>Ref. #</t>
  </si>
  <si>
    <t>AND(any plugging found,(21)autoflush=no,(23)overflow=no)</t>
  </si>
  <si>
    <t>if Dudrainage&lt;0.98</t>
  </si>
  <si>
    <t>if (14)# of emitter types&gt; 1</t>
  </si>
  <si>
    <t>(38)&gt;CT value ("other comp-hidden:c19")</t>
  </si>
  <si>
    <t>Wetted Soil Area %s</t>
  </si>
  <si>
    <t>wetted area/emitter</t>
  </si>
  <si>
    <t>area/plant</t>
  </si>
  <si>
    <t>Area 2:</t>
  </si>
  <si>
    <t>Area 1:</t>
  </si>
  <si>
    <t>Area 3:</t>
  </si>
  <si>
    <t>WSA%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</si>
  <si>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</si>
  <si>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smallest of 3 wetted area %s&lt;=30%</t>
  </si>
  <si>
    <t>DRIP/MICRO EVALUATION: RESULTS</t>
  </si>
  <si>
    <t>DRIP/MICRO EVALUATION: SCHEDULING DATA</t>
  </si>
  <si>
    <t>DRIP/MICRO EVALUATION: PROBLEMS NOTED</t>
  </si>
  <si>
    <t xml:space="preserve">     Pressure differences . . . . . . . . . . . . . . . . . . . . . . . . . . . . . . . . . . . . . . . . . . . . . . . . . . . . . . . . . . . . . . . . . . . . . . . . . . . . . .</t>
  </si>
  <si>
    <t xml:space="preserve">     Other causes of flow variation  . . . . . . . . . . . . . . . . . . . . . . . . . . . . . . . . . . . . . . . . . . . . . . . . . . . . . . . . . . . . . . . . . . . .</t>
  </si>
  <si>
    <t xml:space="preserve">     Unequal Spacing . . . . . . . . . . . . . . . . . . . . . . . . . . . . . . . . . . . . . . . . . . . . . . . . . . . . . . . . . . . . . . . . . . . . . . . . . . . . . . . . . . .</t>
  </si>
  <si>
    <t xml:space="preserve">     Unequal Drainage . . . . . . . . . . . . . . . . . . . . . . . . . . . . . . . . . . . . . . . . . . . . . . . . . . . . . . . . . . . . . . . . . . . . . . . . . . . . . . . . . .</t>
  </si>
  <si>
    <t>the drop-down list is the column g corresponding row.</t>
  </si>
  <si>
    <t>master sheet going from data input to field data sheet format (see macros).</t>
  </si>
  <si>
    <t>AND(Manifold IP diff&gt;.15avg, PC emitters = no)</t>
  </si>
  <si>
    <t>" and 43(manifold regs)=no</t>
  </si>
  <si>
    <t>2 above="y" and 43(manifold regs)=yes</t>
  </si>
  <si>
    <t xml:space="preserve">               significantly, plugging may be a serious problem in the future</t>
  </si>
  <si>
    <t xml:space="preserve">     Unequal drainage</t>
  </si>
  <si>
    <r>
      <t>convert flow to in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/hr:</t>
    </r>
  </si>
  <si>
    <r>
      <t>(in</t>
    </r>
    <r>
      <rPr>
        <vertAlign val="superscript"/>
        <sz val="11"/>
        <color indexed="8"/>
        <rFont val="Arial"/>
        <family val="2"/>
      </rPr>
      <t>3</t>
    </r>
    <r>
      <rPr>
        <sz val="11"/>
        <color theme="1"/>
        <rFont val="Arial"/>
        <family val="2"/>
      </rPr>
      <t>/hr) / gph</t>
    </r>
  </si>
  <si>
    <r>
      <t>(in</t>
    </r>
    <r>
      <rPr>
        <vertAlign val="superscript"/>
        <sz val="11"/>
        <color indexed="8"/>
        <rFont val="Arial"/>
        <family val="2"/>
      </rPr>
      <t>3</t>
    </r>
    <r>
      <rPr>
        <sz val="11"/>
        <color theme="1"/>
        <rFont val="Arial"/>
        <family val="2"/>
      </rPr>
      <t>/hr) / lph</t>
    </r>
  </si>
  <si>
    <r>
      <t>(in</t>
    </r>
    <r>
      <rPr>
        <vertAlign val="superscript"/>
        <sz val="11"/>
        <color indexed="8"/>
        <rFont val="Arial"/>
        <family val="2"/>
      </rPr>
      <t>3</t>
    </r>
    <r>
      <rPr>
        <sz val="11"/>
        <color theme="1"/>
        <rFont val="Arial"/>
        <family val="2"/>
      </rPr>
      <t>/hr) / mL/min</t>
    </r>
  </si>
  <si>
    <t xml:space="preserve">          ESTIMATE OF EXCESS PRESSURE  . . . . . . . . . . . . . . . . . . . . . . . . . . . . . . . . . . . . . . . . . . .</t>
  </si>
  <si>
    <t xml:space="preserve">          ESTIMATE OF RUNOFF (percent of applied water)  . . . . . . . . . . . . . . . . . . . . . . . . . . . . . .</t>
  </si>
  <si>
    <t xml:space="preserve">               Some pressures found in the field were very low</t>
  </si>
  <si>
    <t xml:space="preserve">               There is a slight problem due to barb or hose leaks</t>
  </si>
  <si>
    <t xml:space="preserve">               There is a medium problem due to barb or hose leaks</t>
  </si>
  <si>
    <t xml:space="preserve">               There is a major problem due to barb or hose leaks</t>
  </si>
  <si>
    <t xml:space="preserve">               While emitter plugging is not currently affecting system performance </t>
  </si>
  <si>
    <t xml:space="preserve">                    Possible causes of plugging include:</t>
  </si>
  <si>
    <t xml:space="preserve">                         -Infrequent hose flushing</t>
  </si>
  <si>
    <t xml:space="preserve">                         -Infrequent chlorine injection for bacterial control</t>
  </si>
  <si>
    <t xml:space="preserve">                         -No automatic flush on filters</t>
  </si>
  <si>
    <t xml:space="preserve">               Unequal drainage may be causing a significant problem in certain </t>
  </si>
  <si>
    <t xml:space="preserve">               areas of the field</t>
  </si>
  <si>
    <t xml:space="preserve">               Water runoff problems were noted in the field</t>
  </si>
  <si>
    <t xml:space="preserve">     Pressure problems</t>
  </si>
  <si>
    <t xml:space="preserve">                         -pH may be too high; </t>
  </si>
  <si>
    <t xml:space="preserve">                               consider continuous acid injection to lower pH</t>
  </si>
  <si>
    <t xml:space="preserve">               Pressure throttling with a manual valve</t>
  </si>
  <si>
    <t xml:space="preserve">               Fertilizer injector located downstream of filter</t>
  </si>
  <si>
    <t xml:space="preserve">               Gypsum injector located downstream of filter</t>
  </si>
  <si>
    <t xml:space="preserve">               No flow meter</t>
  </si>
  <si>
    <t xml:space="preserve">                   tentative***</t>
  </si>
  <si>
    <t xml:space="preserve">               Small wetted soil area</t>
  </si>
  <si>
    <t xml:space="preserve">               Injection system uses throttled valve on main line to create a </t>
  </si>
  <si>
    <t xml:space="preserve">               pressure differential</t>
  </si>
  <si>
    <t xml:space="preserve">                         -Insufficient removal of bicarbonates and carbonates from </t>
  </si>
  <si>
    <t xml:space="preserve">                          water with acid</t>
  </si>
  <si>
    <t xml:space="preserve">                         -Lack of pressure regulation; </t>
  </si>
  <si>
    <t xml:space="preserve">                               consider installing hose pressure regulators</t>
  </si>
  <si>
    <t xml:space="preserve">                         -Defective regulators</t>
  </si>
  <si>
    <t xml:space="preserve">                         -Inlet pressure lower than pressure regulator's operating range</t>
  </si>
  <si>
    <t xml:space="preserve">                         -Dirty hose screen washers; </t>
  </si>
  <si>
    <t xml:space="preserve">                    Possible causes of hose inlet pressure variation include: </t>
  </si>
  <si>
    <t xml:space="preserve">     Other problems noted</t>
  </si>
  <si>
    <t xml:space="preserve">               ***More than one type of emitter in the field makes evaluation results </t>
  </si>
  <si>
    <t xml:space="preserve">                               consider removing and replacing with plain washers</t>
  </si>
  <si>
    <t xml:space="preserve">     Unequal spacing</t>
  </si>
  <si>
    <t xml:space="preserve">               Variable plant/emitter spacing or set timing between irrigation blocks </t>
  </si>
  <si>
    <t>0.825-0.874</t>
  </si>
  <si>
    <t>0.745-0.824</t>
  </si>
  <si>
    <t>0.000-0.744</t>
  </si>
  <si>
    <t xml:space="preserve">               Dirty hose screen washers</t>
  </si>
  <si>
    <t xml:space="preserve">                    Possible causes of manifold inlet pressure variation include:</t>
  </si>
  <si>
    <t xml:space="preserve">                              consider installing manifold pressure regulators</t>
  </si>
  <si>
    <t xml:space="preserve">                         -Irregular pressure regulation; </t>
  </si>
  <si>
    <t xml:space="preserve">                              manifold pressure regulator(s) may need adjustment</t>
  </si>
  <si>
    <t>"below</t>
  </si>
  <si>
    <t>if &lt;0.98</t>
  </si>
  <si>
    <t xml:space="preserve">                    Possible causes of pressure loss include:</t>
  </si>
  <si>
    <t xml:space="preserve">                         -Larger-than-typical pressure drop across the filter</t>
  </si>
  <si>
    <t xml:space="preserve">                         -Larger-than-typical pressure drop across the pump control valve</t>
  </si>
  <si>
    <t xml:space="preserve">               may be significantly affecting the DU of the field</t>
  </si>
  <si>
    <t xml:space="preserve">               High pressure losses at pump station</t>
  </si>
  <si>
    <t xml:space="preserve">               Plugging may be a problem in the field</t>
  </si>
  <si>
    <t xml:space="preserve">               Hose inlet pressure variation is a significant problem</t>
  </si>
  <si>
    <t xml:space="preserve">               Manifold inlet pressure variation is a significant problem</t>
  </si>
  <si>
    <t>if countif "y" below&gt;0</t>
  </si>
  <si>
    <t>if other&gt;0%</t>
  </si>
  <si>
    <t>if pressure&gt;0</t>
  </si>
  <si>
    <t>if other problems noted</t>
  </si>
  <si>
    <t>if unequal drainage problems found</t>
  </si>
  <si>
    <t>if count below is triggered</t>
  </si>
  <si>
    <t>List of changes:</t>
  </si>
  <si>
    <t>Change:</t>
  </si>
  <si>
    <t>Edited programming so that the flow rate zero values are counted (zeros were not counted before)</t>
  </si>
  <si>
    <t>Modified data validation so all number values must be numbers</t>
  </si>
  <si>
    <t>Negative or non-numerical value</t>
  </si>
  <si>
    <t>Blank value</t>
  </si>
  <si>
    <t>Negative value</t>
  </si>
  <si>
    <t>Need to select</t>
  </si>
  <si>
    <t>Blank value; ignore error if intentionally blank</t>
  </si>
  <si>
    <t>Acid injection system selected; need to select</t>
  </si>
  <si>
    <t>Injection system selected; need to select</t>
  </si>
  <si>
    <t>Over-ride selected for Area 1; units of over-ride needed</t>
  </si>
  <si>
    <t>Over-ride selected for Area 3; units of over-ride needed</t>
  </si>
  <si>
    <t>Over-ride selected for Area 3; over-ride value needed</t>
  </si>
  <si>
    <t>Over-ride data entered for Area 3; confirm over-ride</t>
  </si>
  <si>
    <t>Need to Select Yes/No for Area 3 emitter flow over-ride</t>
  </si>
  <si>
    <t>Finish data entry for Area 3</t>
  </si>
  <si>
    <t>Finish data entry for Area 2</t>
  </si>
  <si>
    <t>Need to Select Yes/No for Area 2 emitter flow over-ride</t>
  </si>
  <si>
    <t>Over-ride data entered for Area 2; confirm over-ride</t>
  </si>
  <si>
    <t>Over-ride selected for Area 2; over-ride value needed</t>
  </si>
  <si>
    <t>Over-ride selected for Area 2; units of over-ride needed</t>
  </si>
  <si>
    <t>Need to Select Yes/No for Area 1 emitter flow over-ride</t>
  </si>
  <si>
    <t>Finish data entry for Area 1</t>
  </si>
  <si>
    <t>Over-ride data entered for Area 1; confirm over-ride.</t>
  </si>
  <si>
    <t>Over-ride selected for Area 1; over-ride value needed</t>
  </si>
  <si>
    <t>No injection system selected; either correct or change injection system location</t>
  </si>
  <si>
    <t>cell ref</t>
  </si>
  <si>
    <t>Cannot calculate x (option 2) without test 2 at Location A. Fill in data or correct test type.</t>
  </si>
  <si>
    <t>Frequency of acid injection (33) selected; revise location of acid injection (30)</t>
  </si>
  <si>
    <t>Modified data validation because a few spots asked for whole numbers- changed to decimal</t>
  </si>
  <si>
    <t>Modified Results tab so that Results page would always show all values (rather than skipping values that are zero)</t>
  </si>
  <si>
    <t xml:space="preserve">          Difference between hose inlet pressures across the field:</t>
  </si>
  <si>
    <t>Modified Results name ''difference between hose inlet pressures" to read "difference between hose inlet pressures across the field"</t>
  </si>
  <si>
    <t>v106</t>
  </si>
  <si>
    <t>Added version number</t>
  </si>
  <si>
    <t>Below is an alternative method to calculating DUother that was considered 08/18/11. It was ultimately determined by CMB that the average of the 3 DUs should be used</t>
  </si>
  <si>
    <t>to prevent one area from dominating the values.</t>
  </si>
  <si>
    <t>in ascending order</t>
  </si>
  <si>
    <t>LQ Values</t>
  </si>
  <si>
    <t>mL:</t>
  </si>
  <si>
    <t>rank</t>
  </si>
  <si>
    <t>value</t>
  </si>
  <si>
    <t>weight</t>
  </si>
  <si>
    <t>weighted value</t>
  </si>
  <si>
    <t>cum weight</t>
  </si>
  <si>
    <t>Loc A</t>
  </si>
  <si>
    <t>Loc B</t>
  </si>
  <si>
    <t>Loc C</t>
  </si>
  <si>
    <t>LQ cutoff</t>
  </si>
  <si>
    <t>All</t>
  </si>
  <si>
    <t>Sum (value*weight)</t>
  </si>
  <si>
    <t>Sum (weight)</t>
  </si>
  <si>
    <t>Weighted Avg</t>
  </si>
  <si>
    <t>LQ</t>
  </si>
  <si>
    <t>DUlq</t>
  </si>
  <si>
    <t>other</t>
  </si>
  <si>
    <t>v081811</t>
  </si>
  <si>
    <t>Changed calculation of DUother so that an area with a DU of zero would not be excluded from the average of the 3 areas.</t>
  </si>
  <si>
    <t>v062512</t>
  </si>
  <si>
    <t>Modified calculation of DUspacing so that changing the units of the emitter flow rate does not affect the calculation.</t>
  </si>
  <si>
    <t>v111214</t>
  </si>
  <si>
    <t>Modified field identification inputs</t>
  </si>
  <si>
    <t>Field ID:</t>
  </si>
  <si>
    <t>Soil Type:</t>
  </si>
  <si>
    <t>County:</t>
  </si>
  <si>
    <t>System Type:</t>
  </si>
  <si>
    <t>Emitter Design:</t>
  </si>
  <si>
    <t>Hose Spacing (feet):</t>
  </si>
  <si>
    <t>Crop Type:</t>
  </si>
  <si>
    <t>On-line</t>
  </si>
  <si>
    <t>In-line</t>
  </si>
  <si>
    <t>Microsprinkler</t>
  </si>
  <si>
    <t>Microsprayer</t>
  </si>
  <si>
    <t>Clay</t>
  </si>
  <si>
    <t>Sandy Clay</t>
  </si>
  <si>
    <t>Silty Clay</t>
  </si>
  <si>
    <t>Clay Loam</t>
  </si>
  <si>
    <t>Sandy Clay Loam</t>
  </si>
  <si>
    <t>Silty Clay Loam</t>
  </si>
  <si>
    <t>Loam</t>
  </si>
  <si>
    <t>Sandy Loam</t>
  </si>
  <si>
    <t>Loamy Sand</t>
  </si>
  <si>
    <t>Silt</t>
  </si>
  <si>
    <t>Sand</t>
  </si>
  <si>
    <t>Silt Loam</t>
  </si>
  <si>
    <t>Unknown</t>
  </si>
  <si>
    <t>Above ground drip with hard hose</t>
  </si>
  <si>
    <t>Above ground drip with tape</t>
  </si>
  <si>
    <t>SDI with hard hose</t>
  </si>
  <si>
    <t>SDI with tape</t>
  </si>
  <si>
    <t>Emitter Location:</t>
  </si>
  <si>
    <t>San Luis Obispo</t>
  </si>
  <si>
    <t>Moneim</t>
  </si>
  <si>
    <t>Netfilm</t>
  </si>
  <si>
    <t>Avocado</t>
  </si>
  <si>
    <t>2.16.2</t>
  </si>
  <si>
    <t>BR 10 &amp; 13</t>
  </si>
  <si>
    <t xml:space="preserve">WOODPECKER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</si>
</sst>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"/>
  </numFmts>
  <fonts count="4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vertAlign val="superscript"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vertAlign val="subscript"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12"/>
      <color indexed="1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473">
    <xf numFmtId="0" fontId="0" fillId="0" borderId="0" xfId="0"/>
    <xf numFmtId="0" fontId="4" fillId="0" borderId="0" xfId="0" applyFont="1" applyBorder="1"/>
    <xf numFmtId="0" fontId="4" fillId="0" borderId="10" xfId="0" applyFont="1" applyBorder="1"/>
    <xf numFmtId="0" fontId="4" fillId="0" borderId="5" xfId="0" applyFont="1" applyBorder="1"/>
    <xf numFmtId="0" fontId="4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0" xfId="0" applyFont="1"/>
    <xf numFmtId="0" fontId="4" fillId="0" borderId="0" xfId="0" applyFont="1" applyBorder="1" applyProtection="1"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5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Alignment="1" applyProtection="1">
      <alignment horizontal="right" vertical="center" wrapText="1" inden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Alignment="1" applyProtection="1">
      <alignment horizontal="right" wrapText="1" inden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 inden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 inden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 indent="1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left" vertical="center" wrapText="1" indent="2"/>
      <protection hidden="1"/>
    </xf>
    <xf numFmtId="0" fontId="4" fillId="0" borderId="0" xfId="0" applyFont="1" applyAlignment="1" applyProtection="1">
      <alignment horizontal="left" wrapText="1" inden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wrapText="1" inden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19" fillId="0" borderId="0" xfId="0" applyFont="1" applyProtection="1">
      <protection hidden="1"/>
    </xf>
    <xf numFmtId="0" fontId="19" fillId="0" borderId="0" xfId="0" applyFont="1" applyFill="1" applyAlignment="1" applyProtection="1">
      <alignment horizontal="left" vertical="center" wrapText="1" indent="3"/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4" fillId="0" borderId="0" xfId="0" applyFont="1" applyFill="1" applyProtection="1"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Border="1" applyProtection="1"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2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3" borderId="0" xfId="0" applyFont="1" applyFill="1"/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Protection="1">
      <protection hidden="1"/>
    </xf>
    <xf numFmtId="0" fontId="18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/>
    <xf numFmtId="0" fontId="4" fillId="0" borderId="13" xfId="0" applyFont="1" applyBorder="1"/>
    <xf numFmtId="0" fontId="4" fillId="0" borderId="0" xfId="0" applyFont="1" applyProtection="1">
      <protection hidden="1"/>
    </xf>
    <xf numFmtId="0" fontId="4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 horizontal="right" vertical="top" indent="1"/>
      <protection locked="0" hidden="1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4" xfId="0" applyFont="1" applyFill="1" applyBorder="1"/>
    <xf numFmtId="0" fontId="4" fillId="4" borderId="14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7" borderId="14" xfId="0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6" borderId="14" xfId="0" applyFont="1" applyFill="1" applyBorder="1"/>
    <xf numFmtId="0" fontId="4" fillId="6" borderId="14" xfId="0" applyFont="1" applyFill="1" applyBorder="1" applyAlignment="1">
      <alignment vertical="center"/>
    </xf>
    <xf numFmtId="0" fontId="16" fillId="0" borderId="0" xfId="0" applyFont="1" applyFill="1"/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2" fontId="4" fillId="0" borderId="0" xfId="0" applyNumberFormat="1" applyFont="1" applyFill="1"/>
    <xf numFmtId="0" fontId="4" fillId="0" borderId="0" xfId="0" applyFont="1"/>
    <xf numFmtId="164" fontId="4" fillId="0" borderId="0" xfId="0" applyNumberFormat="1" applyFont="1" applyAlignment="1">
      <alignment horizontal="center"/>
    </xf>
    <xf numFmtId="9" fontId="4" fillId="0" borderId="0" xfId="1" applyFont="1" applyAlignment="1">
      <alignment horizontal="center"/>
    </xf>
    <xf numFmtId="0" fontId="4" fillId="0" borderId="0" xfId="0" applyFont="1"/>
    <xf numFmtId="0" fontId="4" fillId="8" borderId="0" xfId="0" applyFont="1" applyFill="1"/>
    <xf numFmtId="164" fontId="4" fillId="8" borderId="0" xfId="0" applyNumberFormat="1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9" fontId="5" fillId="8" borderId="0" xfId="0" applyNumberFormat="1" applyFont="1" applyFill="1" applyAlignment="1">
      <alignment horizontal="center"/>
    </xf>
    <xf numFmtId="166" fontId="4" fillId="4" borderId="14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28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4" fillId="3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Alignment="1" applyProtection="1">
      <alignment horizontal="right" vertical="center" wrapText="1" indent="1"/>
      <protection hidden="1"/>
    </xf>
    <xf numFmtId="0" fontId="4" fillId="0" borderId="0" xfId="0" applyFont="1" applyProtection="1">
      <protection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0" fontId="4" fillId="0" borderId="10" xfId="0" applyFont="1" applyFill="1" applyBorder="1" applyAlignment="1" applyProtection="1">
      <alignment horizontal="center" vertical="center"/>
      <protection locked="0" hidden="1"/>
    </xf>
    <xf numFmtId="165" fontId="7" fillId="0" borderId="0" xfId="0" applyNumberFormat="1" applyFont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/>
    <xf numFmtId="0" fontId="4" fillId="0" borderId="0" xfId="0" applyFont="1" applyBorder="1" applyAlignment="1" applyProtection="1">
      <alignment horizontal="right" vertical="top" indent="1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/>
    <xf numFmtId="0" fontId="4" fillId="0" borderId="0" xfId="0" applyFont="1" applyBorder="1" applyAlignment="1" applyProtection="1">
      <alignment horizontal="right" vertical="center" indent="1"/>
      <protection hidden="1"/>
    </xf>
    <xf numFmtId="0" fontId="4" fillId="0" borderId="0" xfId="0" applyFont="1"/>
    <xf numFmtId="0" fontId="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/>
    <xf numFmtId="2" fontId="4" fillId="0" borderId="0" xfId="0" applyNumberFormat="1" applyFont="1" applyAlignment="1" applyProtection="1">
      <alignment horizontal="righ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/>
    <xf numFmtId="0" fontId="4" fillId="2" borderId="0" xfId="0" applyFont="1" applyFill="1"/>
    <xf numFmtId="0" fontId="4" fillId="0" borderId="29" xfId="0" applyFont="1" applyBorder="1"/>
    <xf numFmtId="0" fontId="4" fillId="0" borderId="30" xfId="0" applyFont="1" applyBorder="1"/>
    <xf numFmtId="0" fontId="4" fillId="0" borderId="29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" borderId="0" xfId="0" applyFont="1" applyFill="1" applyBorder="1"/>
    <xf numFmtId="0" fontId="7" fillId="0" borderId="0" xfId="0" applyFont="1"/>
    <xf numFmtId="0" fontId="7" fillId="0" borderId="13" xfId="0" applyFont="1" applyFill="1" applyBorder="1"/>
    <xf numFmtId="0" fontId="7" fillId="0" borderId="13" xfId="0" applyFont="1" applyBorder="1"/>
    <xf numFmtId="165" fontId="4" fillId="0" borderId="0" xfId="0" applyNumberFormat="1" applyFont="1"/>
    <xf numFmtId="0" fontId="33" fillId="0" borderId="0" xfId="0" applyFont="1"/>
    <xf numFmtId="0" fontId="4" fillId="0" borderId="31" xfId="0" applyFont="1" applyBorder="1"/>
    <xf numFmtId="165" fontId="4" fillId="0" borderId="31" xfId="0" applyNumberFormat="1" applyFont="1" applyBorder="1"/>
    <xf numFmtId="0" fontId="4" fillId="2" borderId="30" xfId="0" applyFont="1" applyFill="1" applyBorder="1"/>
    <xf numFmtId="0" fontId="33" fillId="0" borderId="0" xfId="0" applyFont="1" applyBorder="1"/>
    <xf numFmtId="0" fontId="0" fillId="0" borderId="29" xfId="0" applyBorder="1"/>
    <xf numFmtId="0" fontId="0" fillId="0" borderId="30" xfId="0" applyBorder="1"/>
    <xf numFmtId="0" fontId="0" fillId="11" borderId="20" xfId="0" applyFill="1" applyBorder="1"/>
    <xf numFmtId="0" fontId="0" fillId="11" borderId="15" xfId="0" applyFill="1" applyBorder="1"/>
    <xf numFmtId="0" fontId="0" fillId="6" borderId="29" xfId="0" applyFill="1" applyBorder="1"/>
    <xf numFmtId="0" fontId="0" fillId="6" borderId="30" xfId="0" applyFill="1" applyBorder="1"/>
    <xf numFmtId="0" fontId="32" fillId="0" borderId="30" xfId="0" applyFont="1" applyBorder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1" xfId="0" applyNumberFormat="1" applyBorder="1"/>
    <xf numFmtId="0" fontId="32" fillId="0" borderId="29" xfId="0" applyNumberFormat="1" applyFont="1" applyBorder="1"/>
    <xf numFmtId="2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0" fillId="0" borderId="0" xfId="0" applyFont="1"/>
    <xf numFmtId="0" fontId="32" fillId="0" borderId="0" xfId="0" applyNumberFormat="1" applyFont="1" applyBorder="1"/>
    <xf numFmtId="0" fontId="32" fillId="0" borderId="0" xfId="0" applyFont="1" applyBorder="1"/>
    <xf numFmtId="0" fontId="0" fillId="0" borderId="0" xfId="0" applyFont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0" fontId="0" fillId="2" borderId="28" xfId="0" applyFill="1" applyBorder="1"/>
    <xf numFmtId="0" fontId="4" fillId="2" borderId="28" xfId="0" applyFont="1" applyFill="1" applyBorder="1"/>
    <xf numFmtId="14" fontId="4" fillId="0" borderId="10" xfId="0" applyNumberFormat="1" applyFont="1" applyBorder="1" applyAlignment="1" applyProtection="1">
      <alignment horizontal="center" vertical="center"/>
      <protection locked="0"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right" vertical="center"/>
      <protection locked="0"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locked="0" hidden="1"/>
    </xf>
    <xf numFmtId="0" fontId="16" fillId="0" borderId="1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34" fillId="2" borderId="28" xfId="0" applyFont="1" applyFill="1" applyBorder="1"/>
    <xf numFmtId="0" fontId="0" fillId="0" borderId="0" xfId="0" applyFill="1" applyBorder="1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indent="1"/>
      <protection hidden="1"/>
    </xf>
    <xf numFmtId="0" fontId="4" fillId="0" borderId="0" xfId="0" applyFont="1"/>
    <xf numFmtId="0" fontId="4" fillId="0" borderId="0" xfId="0" applyFont="1"/>
    <xf numFmtId="0" fontId="32" fillId="0" borderId="0" xfId="0" applyFont="1"/>
    <xf numFmtId="0" fontId="35" fillId="0" borderId="0" xfId="0" applyFont="1"/>
    <xf numFmtId="1" fontId="32" fillId="0" borderId="0" xfId="0" applyNumberFormat="1" applyFont="1"/>
    <xf numFmtId="9" fontId="4" fillId="0" borderId="0" xfId="0" applyNumberFormat="1" applyFont="1" applyAlignment="1" applyProtection="1">
      <alignment horizontal="left"/>
      <protection hidden="1"/>
    </xf>
    <xf numFmtId="9" fontId="4" fillId="0" borderId="0" xfId="0" applyNumberFormat="1" applyFont="1"/>
    <xf numFmtId="1" fontId="4" fillId="0" borderId="0" xfId="0" applyNumberFormat="1" applyFont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/>
    <xf numFmtId="9" fontId="4" fillId="0" borderId="0" xfId="0" applyNumberFormat="1" applyFont="1" applyFill="1"/>
    <xf numFmtId="0" fontId="16" fillId="0" borderId="0" xfId="0" applyFont="1"/>
    <xf numFmtId="0" fontId="36" fillId="3" borderId="4" xfId="0" applyFont="1" applyFill="1" applyBorder="1" applyAlignment="1">
      <alignment wrapText="1"/>
    </xf>
    <xf numFmtId="0" fontId="36" fillId="3" borderId="15" xfId="0" applyFont="1" applyFill="1" applyBorder="1" applyAlignment="1">
      <alignment horizontal="center" wrapText="1"/>
    </xf>
    <xf numFmtId="0" fontId="36" fillId="3" borderId="14" xfId="0" applyFont="1" applyFill="1" applyBorder="1" applyAlignment="1">
      <alignment horizontal="center" wrapText="1"/>
    </xf>
    <xf numFmtId="0" fontId="36" fillId="3" borderId="20" xfId="0" applyFont="1" applyFill="1" applyBorder="1" applyAlignment="1">
      <alignment horizontal="center" wrapText="1"/>
    </xf>
    <xf numFmtId="0" fontId="36" fillId="3" borderId="12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4" fillId="3" borderId="2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10" borderId="0" xfId="0" applyFont="1" applyFill="1"/>
    <xf numFmtId="2" fontId="4" fillId="10" borderId="0" xfId="0" applyNumberFormat="1" applyFont="1" applyFill="1"/>
    <xf numFmtId="2" fontId="4" fillId="3" borderId="0" xfId="0" applyNumberFormat="1" applyFont="1" applyFill="1"/>
    <xf numFmtId="49" fontId="4" fillId="0" borderId="0" xfId="0" applyNumberFormat="1" applyFont="1"/>
    <xf numFmtId="0" fontId="12" fillId="10" borderId="4" xfId="0" applyFont="1" applyFill="1" applyBorder="1"/>
    <xf numFmtId="2" fontId="4" fillId="10" borderId="5" xfId="0" applyNumberFormat="1" applyFont="1" applyFill="1" applyBorder="1"/>
    <xf numFmtId="0" fontId="4" fillId="10" borderId="6" xfId="0" applyFont="1" applyFill="1" applyBorder="1"/>
    <xf numFmtId="0" fontId="12" fillId="10" borderId="7" xfId="0" applyFont="1" applyFill="1" applyBorder="1"/>
    <xf numFmtId="2" fontId="4" fillId="10" borderId="0" xfId="0" applyNumberFormat="1" applyFont="1" applyFill="1" applyBorder="1"/>
    <xf numFmtId="0" fontId="4" fillId="10" borderId="8" xfId="0" applyFont="1" applyFill="1" applyBorder="1"/>
    <xf numFmtId="0" fontId="12" fillId="10" borderId="9" xfId="0" applyFont="1" applyFill="1" applyBorder="1"/>
    <xf numFmtId="2" fontId="4" fillId="10" borderId="10" xfId="0" applyNumberFormat="1" applyFont="1" applyFill="1" applyBorder="1"/>
    <xf numFmtId="0" fontId="4" fillId="10" borderId="11" xfId="0" applyFont="1" applyFill="1" applyBorder="1"/>
    <xf numFmtId="0" fontId="4" fillId="0" borderId="4" xfId="0" applyFont="1" applyBorder="1"/>
    <xf numFmtId="0" fontId="4" fillId="10" borderId="4" xfId="0" applyFont="1" applyFill="1" applyBorder="1"/>
    <xf numFmtId="0" fontId="4" fillId="10" borderId="5" xfId="0" applyFont="1" applyFill="1" applyBorder="1"/>
    <xf numFmtId="0" fontId="4" fillId="10" borderId="7" xfId="0" applyFont="1" applyFill="1" applyBorder="1"/>
    <xf numFmtId="0" fontId="4" fillId="10" borderId="0" xfId="0" applyFont="1" applyFill="1" applyBorder="1"/>
    <xf numFmtId="0" fontId="4" fillId="10" borderId="9" xfId="0" applyFont="1" applyFill="1" applyBorder="1"/>
    <xf numFmtId="0" fontId="4" fillId="10" borderId="10" xfId="0" applyFont="1" applyFill="1" applyBorder="1"/>
    <xf numFmtId="0" fontId="39" fillId="0" borderId="0" xfId="0" applyFont="1"/>
    <xf numFmtId="0" fontId="4" fillId="3" borderId="0" xfId="0" applyFont="1" applyFill="1" applyAlignment="1">
      <alignment wrapText="1"/>
    </xf>
    <xf numFmtId="0" fontId="4" fillId="6" borderId="20" xfId="0" applyFont="1" applyFill="1" applyBorder="1"/>
    <xf numFmtId="0" fontId="4" fillId="6" borderId="15" xfId="0" applyFont="1" applyFill="1" applyBorder="1"/>
    <xf numFmtId="0" fontId="12" fillId="10" borderId="20" xfId="0" applyFont="1" applyFill="1" applyBorder="1"/>
    <xf numFmtId="0" fontId="4" fillId="10" borderId="15" xfId="0" applyFont="1" applyFill="1" applyBorder="1"/>
    <xf numFmtId="165" fontId="4" fillId="10" borderId="5" xfId="0" applyNumberFormat="1" applyFont="1" applyFill="1" applyBorder="1"/>
    <xf numFmtId="165" fontId="4" fillId="10" borderId="0" xfId="0" applyNumberFormat="1" applyFont="1" applyFill="1" applyBorder="1"/>
    <xf numFmtId="165" fontId="4" fillId="10" borderId="10" xfId="0" applyNumberFormat="1" applyFont="1" applyFill="1" applyBorder="1"/>
    <xf numFmtId="0" fontId="0" fillId="0" borderId="0" xfId="0" applyFont="1" applyAlignment="1">
      <alignment horizontal="right"/>
    </xf>
    <xf numFmtId="0" fontId="11" fillId="0" borderId="0" xfId="0" applyFont="1" applyAlignment="1" applyProtection="1">
      <alignment horizontal="right" indent="1"/>
      <protection hidden="1"/>
    </xf>
    <xf numFmtId="0" fontId="11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Font="1" applyAlignme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12" borderId="0" xfId="0" applyFont="1" applyFill="1"/>
    <xf numFmtId="0" fontId="4" fillId="12" borderId="28" xfId="0" applyFont="1" applyFill="1" applyBorder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/>
    <xf numFmtId="0" fontId="4" fillId="0" borderId="0" xfId="0" applyFont="1"/>
    <xf numFmtId="0" fontId="4" fillId="0" borderId="0" xfId="0" applyFont="1"/>
    <xf numFmtId="0" fontId="40" fillId="0" borderId="0" xfId="0" applyFont="1"/>
    <xf numFmtId="0" fontId="41" fillId="0" borderId="0" xfId="0" applyFont="1"/>
    <xf numFmtId="0" fontId="4" fillId="3" borderId="0" xfId="0" applyFont="1" applyFill="1" applyBorder="1"/>
    <xf numFmtId="0" fontId="40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13" borderId="0" xfId="0" applyFont="1" applyFill="1"/>
    <xf numFmtId="0" fontId="4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 wrapText="1"/>
    </xf>
    <xf numFmtId="0" fontId="4" fillId="13" borderId="20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4" fillId="13" borderId="4" xfId="0" applyFont="1" applyFill="1" applyBorder="1" applyAlignment="1">
      <alignment horizontal="center" wrapText="1"/>
    </xf>
    <xf numFmtId="0" fontId="4" fillId="13" borderId="6" xfId="0" applyFont="1" applyFill="1" applyBorder="1" applyAlignment="1">
      <alignment horizontal="center" wrapText="1"/>
    </xf>
    <xf numFmtId="0" fontId="4" fillId="13" borderId="4" xfId="0" applyFont="1" applyFill="1" applyBorder="1"/>
    <xf numFmtId="0" fontId="4" fillId="13" borderId="5" xfId="0" applyFont="1" applyFill="1" applyBorder="1"/>
    <xf numFmtId="2" fontId="4" fillId="13" borderId="5" xfId="0" applyNumberFormat="1" applyFont="1" applyFill="1" applyBorder="1"/>
    <xf numFmtId="2" fontId="4" fillId="13" borderId="6" xfId="0" applyNumberFormat="1" applyFont="1" applyFill="1" applyBorder="1"/>
    <xf numFmtId="2" fontId="4" fillId="13" borderId="4" xfId="0" applyNumberFormat="1" applyFont="1" applyFill="1" applyBorder="1"/>
    <xf numFmtId="0" fontId="4" fillId="13" borderId="7" xfId="0" applyFont="1" applyFill="1" applyBorder="1"/>
    <xf numFmtId="0" fontId="4" fillId="13" borderId="0" xfId="0" applyFont="1" applyFill="1" applyBorder="1"/>
    <xf numFmtId="2" fontId="4" fillId="13" borderId="0" xfId="0" applyNumberFormat="1" applyFont="1" applyFill="1" applyBorder="1"/>
    <xf numFmtId="2" fontId="4" fillId="13" borderId="8" xfId="0" applyNumberFormat="1" applyFont="1" applyFill="1" applyBorder="1"/>
    <xf numFmtId="2" fontId="4" fillId="13" borderId="7" xfId="0" applyNumberFormat="1" applyFont="1" applyFill="1" applyBorder="1"/>
    <xf numFmtId="0" fontId="4" fillId="13" borderId="9" xfId="0" applyFont="1" applyFill="1" applyBorder="1"/>
    <xf numFmtId="0" fontId="4" fillId="13" borderId="10" xfId="0" applyFont="1" applyFill="1" applyBorder="1"/>
    <xf numFmtId="2" fontId="4" fillId="13" borderId="10" xfId="0" applyNumberFormat="1" applyFont="1" applyFill="1" applyBorder="1"/>
    <xf numFmtId="2" fontId="4" fillId="13" borderId="11" xfId="0" applyNumberFormat="1" applyFont="1" applyFill="1" applyBorder="1"/>
    <xf numFmtId="2" fontId="4" fillId="13" borderId="9" xfId="0" applyNumberFormat="1" applyFont="1" applyFill="1" applyBorder="1"/>
    <xf numFmtId="165" fontId="11" fillId="13" borderId="21" xfId="0" applyNumberFormat="1" applyFont="1" applyFill="1" applyBorder="1"/>
    <xf numFmtId="0" fontId="4" fillId="13" borderId="23" xfId="0" applyFont="1" applyFill="1" applyBorder="1"/>
    <xf numFmtId="0" fontId="11" fillId="13" borderId="26" xfId="0" applyFont="1" applyFill="1" applyBorder="1"/>
    <xf numFmtId="0" fontId="4" fillId="13" borderId="27" xfId="0" applyFont="1" applyFill="1" applyBorder="1"/>
    <xf numFmtId="165" fontId="4" fillId="13" borderId="0" xfId="0" applyNumberFormat="1" applyFont="1" applyFill="1"/>
    <xf numFmtId="2" fontId="4" fillId="13" borderId="0" xfId="0" applyNumberFormat="1" applyFont="1" applyFill="1"/>
    <xf numFmtId="0" fontId="11" fillId="13" borderId="20" xfId="0" applyFont="1" applyFill="1" applyBorder="1"/>
    <xf numFmtId="0" fontId="11" fillId="13" borderId="12" xfId="0" applyFont="1" applyFill="1" applyBorder="1"/>
    <xf numFmtId="2" fontId="11" fillId="13" borderId="15" xfId="0" applyNumberFormat="1" applyFont="1" applyFill="1" applyBorder="1"/>
    <xf numFmtId="0" fontId="4" fillId="0" borderId="0" xfId="0" applyFont="1"/>
    <xf numFmtId="0" fontId="4" fillId="14" borderId="0" xfId="0" applyFont="1" applyFill="1" applyBorder="1"/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top" wrapText="1" indent="1"/>
      <protection hidden="1"/>
    </xf>
    <xf numFmtId="0" fontId="4" fillId="0" borderId="0" xfId="0" applyFont="1" applyAlignment="1" applyProtection="1">
      <alignment horizontal="left" vertical="center" wrapText="1" inden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 horizontal="right" vertical="top" indent="1"/>
      <protection hidden="1"/>
    </xf>
    <xf numFmtId="0" fontId="18" fillId="0" borderId="0" xfId="0" applyFont="1" applyAlignment="1" applyProtection="1">
      <alignment horizontal="left" vertical="center" wrapText="1" indent="1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right" vertical="top" wrapText="1" indent="1"/>
      <protection locked="0" hidden="1"/>
    </xf>
    <xf numFmtId="0" fontId="19" fillId="0" borderId="0" xfId="0" applyFont="1" applyFill="1" applyBorder="1" applyAlignment="1" applyProtection="1">
      <alignment horizontal="left" vertical="center" wrapText="1" indent="3"/>
      <protection hidden="1"/>
    </xf>
    <xf numFmtId="0" fontId="19" fillId="0" borderId="0" xfId="0" applyFont="1" applyAlignment="1" applyProtection="1">
      <alignment horizontal="left" vertical="center" wrapText="1" indent="1"/>
      <protection hidden="1"/>
    </xf>
    <xf numFmtId="0" fontId="19" fillId="0" borderId="0" xfId="0" applyFont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right" vertical="top" wrapText="1" indent="1"/>
      <protection hidden="1"/>
    </xf>
    <xf numFmtId="0" fontId="19" fillId="0" borderId="0" xfId="0" applyFont="1" applyFill="1" applyAlignment="1">
      <alignment horizontal="left" vertical="center" wrapText="1" indent="3"/>
    </xf>
    <xf numFmtId="0" fontId="12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left" vertical="top" indent="2"/>
      <protection hidden="1"/>
    </xf>
    <xf numFmtId="0" fontId="19" fillId="0" borderId="0" xfId="0" applyFont="1" applyAlignment="1" applyProtection="1">
      <alignment horizontal="left" vertical="center" wrapText="1" indent="2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 vertical="center" wrapText="1" indent="2"/>
      <protection hidden="1"/>
    </xf>
    <xf numFmtId="0" fontId="13" fillId="0" borderId="0" xfId="0" applyFont="1" applyAlignment="1" applyProtection="1">
      <alignment horizontal="left" vertical="center" wrapText="1" indent="1"/>
      <protection hidden="1"/>
    </xf>
    <xf numFmtId="0" fontId="19" fillId="0" borderId="0" xfId="0" applyFont="1" applyAlignment="1" applyProtection="1">
      <alignment horizontal="right" vertical="top" wrapText="1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 wrapText="1" indent="3"/>
      <protection hidden="1"/>
    </xf>
    <xf numFmtId="0" fontId="30" fillId="0" borderId="0" xfId="0" applyFont="1" applyFill="1" applyAlignment="1" applyProtection="1">
      <alignment horizontal="left" vertical="center" wrapText="1" indent="3"/>
      <protection hidden="1"/>
    </xf>
    <xf numFmtId="0" fontId="4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horizontal="left" indent="1"/>
      <protection hidden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13" borderId="20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9" borderId="20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5" xfId="0" applyFont="1" applyFill="1" applyBorder="1" applyAlignment="1">
      <alignment horizontal="left"/>
    </xf>
    <xf numFmtId="0" fontId="4" fillId="13" borderId="20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" borderId="2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9" dropStyle="combo" dx="16" fmlaLink="$G$42" fmlaRange="'Lists-Hidden'!$B$8:$B$16" noThreeD="1" sel="3" val="0"/>
</file>

<file path=xl/ctrlProps/ctrlProp10.xml><?xml version="1.0" encoding="utf-8"?>
<formControlPr xmlns="http://schemas.microsoft.com/office/spreadsheetml/2009/9/main" objectType="Drop" dropLines="3" dropStyle="combo" dx="16" fmlaLink="$G$53" fmlaRange="'Lists-Hidden'!$D$2:$D$4" noThreeD="1" sel="2" val="0"/>
</file>

<file path=xl/ctrlProps/ctrlProp11.xml><?xml version="1.0" encoding="utf-8"?>
<formControlPr xmlns="http://schemas.microsoft.com/office/spreadsheetml/2009/9/main" objectType="Drop" dropLines="3" dropStyle="combo" dx="16" fmlaLink="$G$58" fmlaRange="'Lists-Hidden'!$D$2:$D$4" noThreeD="1" sel="2" val="0"/>
</file>

<file path=xl/ctrlProps/ctrlProp12.xml><?xml version="1.0" encoding="utf-8"?>
<formControlPr xmlns="http://schemas.microsoft.com/office/spreadsheetml/2009/9/main" objectType="Drop" dropLines="4" dropStyle="combo" dx="16" fmlaLink="$G$83" fmlaRange="'Lists-Hidden'!$B$19:$B$22" noThreeD="1" sel="4" val="0"/>
</file>

<file path=xl/ctrlProps/ctrlProp13.xml><?xml version="1.0" encoding="utf-8"?>
<formControlPr xmlns="http://schemas.microsoft.com/office/spreadsheetml/2009/9/main" objectType="Drop" dropLines="5" dropStyle="combo" dx="16" fmlaLink="$G$103" fmlaRange="'Lists-Hidden'!$B$43:$B$47" noThreeD="1" sel="5" val="0"/>
</file>

<file path=xl/ctrlProps/ctrlProp14.xml><?xml version="1.0" encoding="utf-8"?>
<formControlPr xmlns="http://schemas.microsoft.com/office/spreadsheetml/2009/9/main" objectType="Drop" dropLines="5" dropStyle="combo" dx="16" fmlaLink="$G$120" fmlaRange="'Lists-Hidden'!$B$43:$B$47" noThreeD="1" sel="4" val="0"/>
</file>

<file path=xl/ctrlProps/ctrlProp15.xml><?xml version="1.0" encoding="utf-8"?>
<formControlPr xmlns="http://schemas.microsoft.com/office/spreadsheetml/2009/9/main" objectType="Drop" dropLines="5" dropStyle="combo" dx="16" fmlaLink="$G$497" fmlaRange="'Lists-Hidden'!$B$50:$B$54" noThreeD="1" sel="2" val="0"/>
</file>

<file path=xl/ctrlProps/ctrlProp16.xml><?xml version="1.0" encoding="utf-8"?>
<formControlPr xmlns="http://schemas.microsoft.com/office/spreadsheetml/2009/9/main" objectType="Drop" dropLines="5" dropStyle="combo" dx="16" fmlaLink="$G$553" fmlaRange="'Lists-Hidden'!$B$50:$B$54" noThreeD="1" sel="1" val="0"/>
</file>

<file path=xl/ctrlProps/ctrlProp17.xml><?xml version="1.0" encoding="utf-8"?>
<formControlPr xmlns="http://schemas.microsoft.com/office/spreadsheetml/2009/9/main" objectType="Drop" dropLines="3" dropStyle="combo" dx="16" fmlaLink="$G$17" fmlaRange="'Lists-Hidden'!$D$2:$D$4" noThreeD="1" sel="3" val="0"/>
</file>

<file path=xl/ctrlProps/ctrlProp18.xml><?xml version="1.0" encoding="utf-8"?>
<formControlPr xmlns="http://schemas.microsoft.com/office/spreadsheetml/2009/9/main" objectType="Drop" dropLines="3" dropStyle="combo" dx="16" fmlaLink="$G$266" fmlaRange="'Lists-Hidden'!$D$2:$D$4" noThreeD="1" sel="3" val="0"/>
</file>

<file path=xl/ctrlProps/ctrlProp19.xml><?xml version="1.0" encoding="utf-8"?>
<formControlPr xmlns="http://schemas.microsoft.com/office/spreadsheetml/2009/9/main" objectType="Drop" dropLines="4" dropStyle="combo" dx="16" fmlaLink="$G$27" fmlaRange="'Lists-Hidden'!$B$57:$B$60" noThreeD="1" sel="2" val="0"/>
</file>

<file path=xl/ctrlProps/ctrlProp2.xml><?xml version="1.0" encoding="utf-8"?>
<formControlPr xmlns="http://schemas.microsoft.com/office/spreadsheetml/2009/9/main" objectType="Drop" dropLines="3" dropStyle="combo" dx="16" fmlaLink="$G$419" fmlaRange="'Lists-Hidden'!$D$2:$D$4" noThreeD="1" sel="3" val="0"/>
</file>

<file path=xl/ctrlProps/ctrlProp20.xml><?xml version="1.0" encoding="utf-8"?>
<formControlPr xmlns="http://schemas.microsoft.com/office/spreadsheetml/2009/9/main" objectType="Drop" dropLines="3" dropStyle="combo" dx="16" fmlaLink="$G$271" fmlaRange="'Lists-Hidden'!$D$2:$D$4" noThreeD="1" sel="3" val="0"/>
</file>

<file path=xl/ctrlProps/ctrlProp21.xml><?xml version="1.0" encoding="utf-8"?>
<formControlPr xmlns="http://schemas.microsoft.com/office/spreadsheetml/2009/9/main" objectType="Drop" dropLines="3" dropStyle="combo" dx="16" fmlaLink="$G$276" fmlaRange="'Lists-Hidden'!$D$2:$D$4" noThreeD="1" sel="2" val="0"/>
</file>

<file path=xl/ctrlProps/ctrlProp22.xml><?xml version="1.0" encoding="utf-8"?>
<formControlPr xmlns="http://schemas.microsoft.com/office/spreadsheetml/2009/9/main" objectType="Drop" dropLines="3" dropStyle="combo" dx="16" fmlaLink="$G$62" fmlaRange="'Lists-Hidden'!$D$2:$D$4" noThreeD="1" sel="3" val="0"/>
</file>

<file path=xl/ctrlProps/ctrlProp23.xml><?xml version="1.0" encoding="utf-8"?>
<formControlPr xmlns="http://schemas.microsoft.com/office/spreadsheetml/2009/9/main" objectType="Drop" dropLines="3" dropStyle="combo" dx="16" fmlaLink="$G$66" fmlaRange="'Lists-Hidden'!$D$2:$D$4" noThreeD="1" sel="3" val="0"/>
</file>

<file path=xl/ctrlProps/ctrlProp24.xml><?xml version="1.0" encoding="utf-8"?>
<formControlPr xmlns="http://schemas.microsoft.com/office/spreadsheetml/2009/9/main" objectType="Drop" dropLines="3" dropStyle="combo" dx="16" fmlaLink="$G$70" fmlaRange="'Lists-Hidden'!$D$2:$D$4" noThreeD="1" sel="3" val="0"/>
</file>

<file path=xl/ctrlProps/ctrlProp25.xml><?xml version="1.0" encoding="utf-8"?>
<formControlPr xmlns="http://schemas.microsoft.com/office/spreadsheetml/2009/9/main" objectType="Drop" dropLines="3" dropStyle="combo" dx="16" fmlaLink="$G$74" fmlaRange="'Lists-Hidden'!$D$2:$D$4" noThreeD="1" sel="3" val="0"/>
</file>

<file path=xl/ctrlProps/ctrlProp26.xml><?xml version="1.0" encoding="utf-8"?>
<formControlPr xmlns="http://schemas.microsoft.com/office/spreadsheetml/2009/9/main" objectType="Drop" dropLines="3" dropStyle="combo" dx="16" fmlaLink="$G$78" fmlaRange="'Lists-Hidden'!$D$2:$D$4" noThreeD="1" sel="2" val="0"/>
</file>

<file path=xl/ctrlProps/ctrlProp27.xml><?xml version="1.0" encoding="utf-8"?>
<formControlPr xmlns="http://schemas.microsoft.com/office/spreadsheetml/2009/9/main" objectType="Drop" dropLines="3" dropStyle="combo" dx="16" fmlaLink="$G$116" fmlaRange="'Lists-Hidden'!$D$2:$D$4" noThreeD="1" sel="3" val="0"/>
</file>

<file path=xl/ctrlProps/ctrlProp28.xml><?xml version="1.0" encoding="utf-8"?>
<formControlPr xmlns="http://schemas.microsoft.com/office/spreadsheetml/2009/9/main" objectType="Drop" dropLines="6" dropStyle="combo" dx="16" fmlaLink="G103" fmlaRange="'Lists-Hidden'!$E$43:$E$47" noThreeD="1" sel="5" val="0"/>
</file>

<file path=xl/ctrlProps/ctrlProp29.xml><?xml version="1.0" encoding="utf-8"?>
<formControlPr xmlns="http://schemas.microsoft.com/office/spreadsheetml/2009/9/main" objectType="Drop" dropLines="5" dropStyle="combo" dx="16" fmlaLink="$G$509" fmlaRange="'Lists-Hidden'!$B$50:$B$54" noThreeD="1" sel="3" val="0"/>
</file>

<file path=xl/ctrlProps/ctrlProp3.xml><?xml version="1.0" encoding="utf-8"?>
<formControlPr xmlns="http://schemas.microsoft.com/office/spreadsheetml/2009/9/main" objectType="Drop" dropLines="3" dropStyle="combo" dx="16" fmlaLink="$G$37" fmlaRange="'Lists-Hidden'!$B$2:$B$4" noThreeD="1" sel="2" val="0"/>
</file>

<file path=xl/ctrlProps/ctrlProp30.xml><?xml version="1.0" encoding="utf-8"?>
<formControlPr xmlns="http://schemas.microsoft.com/office/spreadsheetml/2009/9/main" objectType="Drop" dropLines="5" dropStyle="combo" dx="16" fmlaLink="$G$503" fmlaRange="'Lists-Hidden'!$B$50:$B$54" noThreeD="1" sel="3" val="0"/>
</file>

<file path=xl/ctrlProps/ctrlProp31.xml><?xml version="1.0" encoding="utf-8"?>
<formControlPr xmlns="http://schemas.microsoft.com/office/spreadsheetml/2009/9/main" objectType="Drop" dropLines="5" dropStyle="combo" dx="16" fmlaLink="$G$517" fmlaRange="'Lists-Hidden'!$B$50:$B$54" noThreeD="1" sel="1" val="0"/>
</file>

<file path=xl/ctrlProps/ctrlProp32.xml><?xml version="1.0" encoding="utf-8"?>
<formControlPr xmlns="http://schemas.microsoft.com/office/spreadsheetml/2009/9/main" objectType="Drop" dropLines="5" dropStyle="combo" dx="16" fmlaLink="$G$523" fmlaRange="'Lists-Hidden'!$B$50:$B$54" noThreeD="1" sel="1" val="0"/>
</file>

<file path=xl/ctrlProps/ctrlProp33.xml><?xml version="1.0" encoding="utf-8"?>
<formControlPr xmlns="http://schemas.microsoft.com/office/spreadsheetml/2009/9/main" objectType="Drop" dropLines="5" dropStyle="combo" dx="16" fmlaLink="$G$529" fmlaRange="'Lists-Hidden'!$B$50:$B$54" noThreeD="1" sel="1" val="0"/>
</file>

<file path=xl/ctrlProps/ctrlProp34.xml><?xml version="1.0" encoding="utf-8"?>
<formControlPr xmlns="http://schemas.microsoft.com/office/spreadsheetml/2009/9/main" objectType="Drop" dropLines="5" dropStyle="combo" dx="16" fmlaLink="$G$541" fmlaRange="'Lists-Hidden'!$B$50:$B$54" noThreeD="1" sel="1" val="0"/>
</file>

<file path=xl/ctrlProps/ctrlProp35.xml><?xml version="1.0" encoding="utf-8"?>
<formControlPr xmlns="http://schemas.microsoft.com/office/spreadsheetml/2009/9/main" objectType="Drop" dropLines="5" dropStyle="combo" dx="16" fmlaLink="$G$547" fmlaRange="'Lists-Hidden'!$B$50:$B$54" noThreeD="1" sel="1" val="0"/>
</file>

<file path=xl/ctrlProps/ctrlProp36.xml><?xml version="1.0" encoding="utf-8"?>
<formControlPr xmlns="http://schemas.microsoft.com/office/spreadsheetml/2009/9/main" objectType="Drop" dropLines="3" dropStyle="combo" dx="16" fmlaLink="$G$21" fmlaRange="'Lists-Hidden'!$D$2:$D$4" noThreeD="1" sel="2" val="0"/>
</file>

<file path=xl/ctrlProps/ctrlProp37.xml><?xml version="1.0" encoding="utf-8"?>
<formControlPr xmlns="http://schemas.microsoft.com/office/spreadsheetml/2009/9/main" objectType="Drop" dropLines="4" dropStyle="combo" dx="16" fmlaLink="$G$88" fmlaRange="'Lists-Hidden'!$B$25:$B$28" noThreeD="1" sel="2" val="0"/>
</file>

<file path=xl/ctrlProps/ctrlProp38.xml><?xml version="1.0" encoding="utf-8"?>
<formControlPr xmlns="http://schemas.microsoft.com/office/spreadsheetml/2009/9/main" objectType="Drop" dropLines="4" dropStyle="combo" dx="16" fmlaLink="$G$93" fmlaRange="'Lists-Hidden'!$B$31:$B$34" noThreeD="1" sel="2" val="0"/>
</file>

<file path=xl/ctrlProps/ctrlProp39.xml><?xml version="1.0" encoding="utf-8"?>
<formControlPr xmlns="http://schemas.microsoft.com/office/spreadsheetml/2009/9/main" objectType="Drop" dropLines="4" dropStyle="combo" dx="16" fmlaLink="$G$98" fmlaRange="'Lists-Hidden'!$B$37:$B$40" noThreeD="1" sel="2" val="0"/>
</file>

<file path=xl/ctrlProps/ctrlProp4.xml><?xml version="1.0" encoding="utf-8"?>
<formControlPr xmlns="http://schemas.microsoft.com/office/spreadsheetml/2009/9/main" objectType="Drop" dropLines="3" dropStyle="combo" dx="16" fmlaLink="$G$446" fmlaRange="'Lists-Hidden'!$D$2:$D$4" noThreeD="1" sel="1" val="0"/>
</file>

<file path=xl/ctrlProps/ctrlProp40.xml><?xml version="1.0" encoding="utf-8"?>
<formControlPr xmlns="http://schemas.microsoft.com/office/spreadsheetml/2009/9/main" objectType="Drop" dropLines="5" dropStyle="combo" dx="16" fmlaLink="$G$109" fmlaRange="'Lists-Hidden'!$B$43:$B$47" noThreeD="1" sel="2" val="0"/>
</file>

<file path=xl/ctrlProps/ctrlProp41.xml><?xml version="1.0" encoding="utf-8"?>
<formControlPr xmlns="http://schemas.microsoft.com/office/spreadsheetml/2009/9/main" objectType="Drop" dropLines="5" dropStyle="combo" dx="16" fmlaLink="$G$535" fmlaRange="'Lists-Hidden'!$B$50:$B$54" noThreeD="1" sel="1" val="0"/>
</file>

<file path=xl/ctrlProps/ctrlProp42.xml><?xml version="1.0" encoding="utf-8"?>
<formControlPr xmlns="http://schemas.microsoft.com/office/spreadsheetml/2009/9/main" objectType="Drop" dropLines="4" dropStyle="combo" dx="16" fmlaLink="$G$426" fmlaRange="'Lists-Hidden'!$B$2:$B$5" noThreeD="1" sel="1" val="0"/>
</file>

<file path=xl/ctrlProps/ctrlProp43.xml><?xml version="1.0" encoding="utf-8"?>
<formControlPr xmlns="http://schemas.microsoft.com/office/spreadsheetml/2009/9/main" objectType="Drop" dropLines="4" dropStyle="combo" dx="16" fmlaLink="$G$480" fmlaRange="'Lists-Hidden'!$B$2:$B$5" noThreeD="1" sel="1" val="0"/>
</file>

<file path=xl/ctrlProps/ctrlProp44.xml><?xml version="1.0" encoding="utf-8"?>
<formControlPr xmlns="http://schemas.microsoft.com/office/spreadsheetml/2009/9/main" objectType="Drop" dropLines="4" dropStyle="combo" dx="16" fmlaLink="$G$453" fmlaRange="'Lists-Hidden'!$B$2:$B$5" noThreeD="1" sel="1" val="0"/>
</file>

<file path=xl/ctrlProps/ctrlProp45.xml><?xml version="1.0" encoding="utf-8"?>
<formControlPr xmlns="http://schemas.microsoft.com/office/spreadsheetml/2009/9/main" objectType="Drop" dropLines="2" dropStyle="combo" dx="16" fmlaLink="$G$418" fmlaRange="'Lists-Hidden'!$F$2:$F$3" noThreeD="1" sel="1" val="0"/>
</file>

<file path=xl/ctrlProps/ctrlProp46.xml><?xml version="1.0" encoding="utf-8"?>
<formControlPr xmlns="http://schemas.microsoft.com/office/spreadsheetml/2009/9/main" objectType="Drop" dropLines="2" dropStyle="combo" dx="16" fmlaLink="$G$445" fmlaRange="'Lists-Hidden'!$F$2:$F$3" noThreeD="1" sel="1" val="0"/>
</file>

<file path=xl/ctrlProps/ctrlProp47.xml><?xml version="1.0" encoding="utf-8"?>
<formControlPr xmlns="http://schemas.microsoft.com/office/spreadsheetml/2009/9/main" objectType="Drop" dropLines="2" dropStyle="combo" dx="16" fmlaLink="$G$472" fmlaRange="'Lists-Hidden'!$F$2:$F$3" noThreeD="1" sel="1" val="0"/>
</file>

<file path=xl/ctrlProps/ctrlProp48.xml><?xml version="1.0" encoding="utf-8"?>
<formControlPr xmlns="http://schemas.microsoft.com/office/spreadsheetml/2009/9/main" objectType="Drop" dropStyle="combo" dx="16" fmlaLink="$G$3" fmlaRange="'Lists-Hidden'!$E$55:$E$62" noThreeD="1" sel="2" val="0"/>
</file>

<file path=xl/ctrlProps/ctrlProp49.xml><?xml version="1.0" encoding="utf-8"?>
<formControlPr xmlns="http://schemas.microsoft.com/office/spreadsheetml/2009/9/main" objectType="Drop" dropLines="3" dropStyle="combo" dx="16" fmlaLink="$G$4" fmlaRange="'Lists-Hidden'!$E$50:$E$52" noThreeD="1" sel="2" val="0"/>
</file>

<file path=xl/ctrlProps/ctrlProp5.xml><?xml version="1.0" encoding="utf-8"?>
<formControlPr xmlns="http://schemas.microsoft.com/office/spreadsheetml/2009/9/main" objectType="Drop" dropLines="3" dropStyle="combo" dx="16" fmlaLink="$G$473" fmlaRange="'Lists-Hidden'!$D$2:$D$4" noThreeD="1" sel="1" val="0"/>
</file>

<file path=xl/ctrlProps/ctrlProp50.xml><?xml version="1.0" encoding="utf-8"?>
<formControlPr xmlns="http://schemas.microsoft.com/office/spreadsheetml/2009/9/main" objectType="Drop" dropLines="14" dropStyle="combo" dx="16" fmlaLink="$G$7" fmlaRange="'Lists-Hidden'!$E$65:$E$78" noThreeD="1" sel="12" val="0"/>
</file>

<file path=xl/ctrlProps/ctrlProp6.xml><?xml version="1.0" encoding="utf-8"?>
<formControlPr xmlns="http://schemas.microsoft.com/office/spreadsheetml/2009/9/main" objectType="Drop" dropLines="3" dropStyle="combo" dx="16" fmlaLink="$G$138" fmlaRange="'Lists-Hidden'!$D$2:$D$4" noThreeD="1" sel="3" val="0"/>
</file>

<file path=xl/ctrlProps/ctrlProp7.xml><?xml version="1.0" encoding="utf-8"?>
<formControlPr xmlns="http://schemas.microsoft.com/office/spreadsheetml/2009/9/main" objectType="Drop" dropLines="3" dropStyle="combo" dx="16" fmlaLink="$G$143" fmlaRange="'Lists-Hidden'!$D$2:$D$4" noThreeD="1" sel="3" val="0"/>
</file>

<file path=xl/ctrlProps/ctrlProp8.xml><?xml version="1.0" encoding="utf-8"?>
<formControlPr xmlns="http://schemas.microsoft.com/office/spreadsheetml/2009/9/main" objectType="Drop" dropLines="3" dropStyle="combo" dx="16" fmlaLink="$G$148" fmlaRange="'Lists-Hidden'!$D$2:$D$4" noThreeD="1" sel="3" val="0"/>
</file>

<file path=xl/ctrlProps/ctrlProp9.xml><?xml version="1.0" encoding="utf-8"?>
<formControlPr xmlns="http://schemas.microsoft.com/office/spreadsheetml/2009/9/main" objectType="Drop" dropLines="3" dropStyle="combo" dx="16" fmlaLink="$G$152" fmlaRange="'Lists-Hidden'!$D$2:$D$4" noThreeD="1" sel="2" val="0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4" Type="http://schemas.openxmlformats.org/officeDocument/2006/relationships/image" Target="../media/image1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418</xdr:row>
          <xdr:rowOff>0</xdr:rowOff>
        </xdr:from>
        <xdr:to>
          <xdr:col>5</xdr:col>
          <xdr:colOff>0</xdr:colOff>
          <xdr:row>419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445</xdr:row>
          <xdr:rowOff>0</xdr:rowOff>
        </xdr:from>
        <xdr:to>
          <xdr:col>5</xdr:col>
          <xdr:colOff>0</xdr:colOff>
          <xdr:row>446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472</xdr:row>
          <xdr:rowOff>0</xdr:rowOff>
        </xdr:from>
        <xdr:to>
          <xdr:col>5</xdr:col>
          <xdr:colOff>0</xdr:colOff>
          <xdr:row>473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137</xdr:row>
          <xdr:rowOff>123825</xdr:rowOff>
        </xdr:from>
        <xdr:to>
          <xdr:col>5</xdr:col>
          <xdr:colOff>0</xdr:colOff>
          <xdr:row>138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142</xdr:row>
          <xdr:rowOff>123825</xdr:rowOff>
        </xdr:from>
        <xdr:to>
          <xdr:col>5</xdr:col>
          <xdr:colOff>0</xdr:colOff>
          <xdr:row>143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147</xdr:row>
          <xdr:rowOff>114300</xdr:rowOff>
        </xdr:from>
        <xdr:to>
          <xdr:col>5</xdr:col>
          <xdr:colOff>0</xdr:colOff>
          <xdr:row>148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148</xdr:row>
          <xdr:rowOff>0</xdr:rowOff>
        </xdr:from>
        <xdr:to>
          <xdr:col>5</xdr:col>
          <xdr:colOff>0</xdr:colOff>
          <xdr:row>152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0</xdr:rowOff>
        </xdr:from>
        <xdr:to>
          <xdr:col>5</xdr:col>
          <xdr:colOff>0</xdr:colOff>
          <xdr:row>53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57</xdr:row>
          <xdr:rowOff>0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82</xdr:row>
          <xdr:rowOff>0</xdr:rowOff>
        </xdr:from>
        <xdr:to>
          <xdr:col>5</xdr:col>
          <xdr:colOff>0</xdr:colOff>
          <xdr:row>83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</xdr:row>
          <xdr:rowOff>0</xdr:rowOff>
        </xdr:from>
        <xdr:to>
          <xdr:col>5</xdr:col>
          <xdr:colOff>9525</xdr:colOff>
          <xdr:row>103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116</xdr:row>
          <xdr:rowOff>0</xdr:rowOff>
        </xdr:from>
        <xdr:to>
          <xdr:col>5</xdr:col>
          <xdr:colOff>9525</xdr:colOff>
          <xdr:row>120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496</xdr:row>
          <xdr:rowOff>0</xdr:rowOff>
        </xdr:from>
        <xdr:to>
          <xdr:col>5</xdr:col>
          <xdr:colOff>0</xdr:colOff>
          <xdr:row>497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552</xdr:row>
          <xdr:rowOff>123825</xdr:rowOff>
        </xdr:from>
        <xdr:to>
          <xdr:col>5</xdr:col>
          <xdr:colOff>0</xdr:colOff>
          <xdr:row>553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265</xdr:row>
          <xdr:rowOff>438150</xdr:rowOff>
        </xdr:from>
        <xdr:to>
          <xdr:col>5</xdr:col>
          <xdr:colOff>0</xdr:colOff>
          <xdr:row>265</xdr:row>
          <xdr:rowOff>609600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270</xdr:row>
          <xdr:rowOff>133350</xdr:rowOff>
        </xdr:from>
        <xdr:to>
          <xdr:col>5</xdr:col>
          <xdr:colOff>0</xdr:colOff>
          <xdr:row>271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275</xdr:row>
          <xdr:rowOff>133350</xdr:rowOff>
        </xdr:from>
        <xdr:to>
          <xdr:col>5</xdr:col>
          <xdr:colOff>0</xdr:colOff>
          <xdr:row>275</xdr:row>
          <xdr:rowOff>304800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58</xdr:row>
          <xdr:rowOff>0</xdr:rowOff>
        </xdr:from>
        <xdr:to>
          <xdr:col>5</xdr:col>
          <xdr:colOff>0</xdr:colOff>
          <xdr:row>62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0</xdr:colOff>
          <xdr:row>66</xdr:row>
          <xdr:rowOff>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66</xdr:row>
          <xdr:rowOff>0</xdr:rowOff>
        </xdr:from>
        <xdr:to>
          <xdr:col>5</xdr:col>
          <xdr:colOff>0</xdr:colOff>
          <xdr:row>70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70</xdr:row>
          <xdr:rowOff>0</xdr:rowOff>
        </xdr:from>
        <xdr:to>
          <xdr:col>5</xdr:col>
          <xdr:colOff>0</xdr:colOff>
          <xdr:row>74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0</xdr:rowOff>
        </xdr:from>
        <xdr:to>
          <xdr:col>5</xdr:col>
          <xdr:colOff>0</xdr:colOff>
          <xdr:row>78</xdr:row>
          <xdr:rowOff>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115</xdr:row>
          <xdr:rowOff>114300</xdr:rowOff>
        </xdr:from>
        <xdr:to>
          <xdr:col>5</xdr:col>
          <xdr:colOff>9525</xdr:colOff>
          <xdr:row>116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</xdr:row>
          <xdr:rowOff>0</xdr:rowOff>
        </xdr:from>
        <xdr:to>
          <xdr:col>5</xdr:col>
          <xdr:colOff>0</xdr:colOff>
          <xdr:row>103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503</xdr:row>
          <xdr:rowOff>0</xdr:rowOff>
        </xdr:from>
        <xdr:to>
          <xdr:col>5</xdr:col>
          <xdr:colOff>0</xdr:colOff>
          <xdr:row>509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497</xdr:row>
          <xdr:rowOff>0</xdr:rowOff>
        </xdr:from>
        <xdr:to>
          <xdr:col>5</xdr:col>
          <xdr:colOff>0</xdr:colOff>
          <xdr:row>503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516</xdr:row>
          <xdr:rowOff>0</xdr:rowOff>
        </xdr:from>
        <xdr:to>
          <xdr:col>5</xdr:col>
          <xdr:colOff>0</xdr:colOff>
          <xdr:row>517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517</xdr:row>
          <xdr:rowOff>0</xdr:rowOff>
        </xdr:from>
        <xdr:to>
          <xdr:col>5</xdr:col>
          <xdr:colOff>0</xdr:colOff>
          <xdr:row>523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523</xdr:row>
          <xdr:rowOff>0</xdr:rowOff>
        </xdr:from>
        <xdr:to>
          <xdr:col>5</xdr:col>
          <xdr:colOff>0</xdr:colOff>
          <xdr:row>529</xdr:row>
          <xdr:rowOff>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535</xdr:row>
          <xdr:rowOff>0</xdr:rowOff>
        </xdr:from>
        <xdr:to>
          <xdr:col>5</xdr:col>
          <xdr:colOff>0</xdr:colOff>
          <xdr:row>541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541</xdr:row>
          <xdr:rowOff>0</xdr:rowOff>
        </xdr:from>
        <xdr:to>
          <xdr:col>5</xdr:col>
          <xdr:colOff>0</xdr:colOff>
          <xdr:row>547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83</xdr:row>
          <xdr:rowOff>0</xdr:rowOff>
        </xdr:from>
        <xdr:to>
          <xdr:col>5</xdr:col>
          <xdr:colOff>0</xdr:colOff>
          <xdr:row>88</xdr:row>
          <xdr:rowOff>0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0</xdr:rowOff>
        </xdr:from>
        <xdr:to>
          <xdr:col>5</xdr:col>
          <xdr:colOff>0</xdr:colOff>
          <xdr:row>93</xdr:row>
          <xdr:rowOff>0</xdr:rowOff>
        </xdr:to>
        <xdr:sp macro="" textlink="">
          <xdr:nvSpPr>
            <xdr:cNvPr id="1136" name="Drop Dow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93</xdr:row>
          <xdr:rowOff>0</xdr:rowOff>
        </xdr:from>
        <xdr:to>
          <xdr:col>5</xdr:col>
          <xdr:colOff>0</xdr:colOff>
          <xdr:row>98</xdr:row>
          <xdr:rowOff>0</xdr:rowOff>
        </xdr:to>
        <xdr:sp macro="" textlink="">
          <xdr:nvSpPr>
            <xdr:cNvPr id="1137" name="Drop Dow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</xdr:row>
          <xdr:rowOff>0</xdr:rowOff>
        </xdr:from>
        <xdr:to>
          <xdr:col>5</xdr:col>
          <xdr:colOff>0</xdr:colOff>
          <xdr:row>109</xdr:row>
          <xdr:rowOff>0</xdr:rowOff>
        </xdr:to>
        <xdr:sp macro="" textlink="">
          <xdr:nvSpPr>
            <xdr:cNvPr id="1138" name="Drop Dow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529</xdr:row>
          <xdr:rowOff>0</xdr:rowOff>
        </xdr:from>
        <xdr:to>
          <xdr:col>5</xdr:col>
          <xdr:colOff>0</xdr:colOff>
          <xdr:row>535</xdr:row>
          <xdr:rowOff>0</xdr:rowOff>
        </xdr:to>
        <xdr:sp macro="" textlink="">
          <xdr:nvSpPr>
            <xdr:cNvPr id="1139" name="Drop Dow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424</xdr:row>
          <xdr:rowOff>0</xdr:rowOff>
        </xdr:from>
        <xdr:to>
          <xdr:col>5</xdr:col>
          <xdr:colOff>0</xdr:colOff>
          <xdr:row>426</xdr:row>
          <xdr:rowOff>0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478</xdr:row>
          <xdr:rowOff>0</xdr:rowOff>
        </xdr:from>
        <xdr:to>
          <xdr:col>5</xdr:col>
          <xdr:colOff>0</xdr:colOff>
          <xdr:row>480</xdr:row>
          <xdr:rowOff>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451</xdr:row>
          <xdr:rowOff>0</xdr:rowOff>
        </xdr:from>
        <xdr:to>
          <xdr:col>5</xdr:col>
          <xdr:colOff>0</xdr:colOff>
          <xdr:row>453</xdr:row>
          <xdr:rowOff>0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416</xdr:row>
          <xdr:rowOff>0</xdr:rowOff>
        </xdr:from>
        <xdr:to>
          <xdr:col>6</xdr:col>
          <xdr:colOff>0</xdr:colOff>
          <xdr:row>417</xdr:row>
          <xdr:rowOff>180975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443</xdr:row>
          <xdr:rowOff>0</xdr:rowOff>
        </xdr:from>
        <xdr:to>
          <xdr:col>6</xdr:col>
          <xdr:colOff>0</xdr:colOff>
          <xdr:row>445</xdr:row>
          <xdr:rowOff>0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470</xdr:row>
          <xdr:rowOff>0</xdr:rowOff>
        </xdr:from>
        <xdr:to>
          <xdr:col>6</xdr:col>
          <xdr:colOff>0</xdr:colOff>
          <xdr:row>471</xdr:row>
          <xdr:rowOff>180975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9525</xdr:colOff>
          <xdr:row>3</xdr:row>
          <xdr:rowOff>4482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9525</xdr:rowOff>
        </xdr:from>
        <xdr:to>
          <xdr:col>5</xdr:col>
          <xdr:colOff>0</xdr:colOff>
          <xdr:row>4</xdr:row>
          <xdr:rowOff>9525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9525</xdr:rowOff>
        </xdr:from>
        <xdr:to>
          <xdr:col>5</xdr:col>
          <xdr:colOff>0</xdr:colOff>
          <xdr:row>7</xdr:row>
          <xdr:rowOff>9525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42</xdr:row>
          <xdr:rowOff>57150</xdr:rowOff>
        </xdr:from>
        <xdr:to>
          <xdr:col>5</xdr:col>
          <xdr:colOff>0</xdr:colOff>
          <xdr:row>45</xdr:row>
          <xdr:rowOff>133350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19050</xdr:rowOff>
        </xdr:from>
        <xdr:to>
          <xdr:col>5</xdr:col>
          <xdr:colOff>257175</xdr:colOff>
          <xdr:row>53</xdr:row>
          <xdr:rowOff>285750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19050</xdr:rowOff>
        </xdr:from>
        <xdr:to>
          <xdr:col>3</xdr:col>
          <xdr:colOff>85725</xdr:colOff>
          <xdr:row>54</xdr:row>
          <xdr:rowOff>200025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19050</xdr:rowOff>
        </xdr:from>
        <xdr:to>
          <xdr:col>3</xdr:col>
          <xdr:colOff>38100</xdr:colOff>
          <xdr:row>55</xdr:row>
          <xdr:rowOff>209550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11</xdr:row>
          <xdr:rowOff>38100</xdr:rowOff>
        </xdr:from>
        <xdr:to>
          <xdr:col>6</xdr:col>
          <xdr:colOff>104775</xdr:colOff>
          <xdr:row>15</xdr:row>
          <xdr:rowOff>133350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42</xdr:row>
          <xdr:rowOff>57150</xdr:rowOff>
        </xdr:from>
        <xdr:to>
          <xdr:col>6</xdr:col>
          <xdr:colOff>19050</xdr:colOff>
          <xdr:row>45</xdr:row>
          <xdr:rowOff>133350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19050</xdr:rowOff>
        </xdr:from>
        <xdr:to>
          <xdr:col>5</xdr:col>
          <xdr:colOff>257175</xdr:colOff>
          <xdr:row>53</xdr:row>
          <xdr:rowOff>285750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19050</xdr:rowOff>
        </xdr:from>
        <xdr:to>
          <xdr:col>3</xdr:col>
          <xdr:colOff>85725</xdr:colOff>
          <xdr:row>54</xdr:row>
          <xdr:rowOff>200025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19050</xdr:rowOff>
        </xdr:from>
        <xdr:to>
          <xdr:col>3</xdr:col>
          <xdr:colOff>38100</xdr:colOff>
          <xdr:row>55</xdr:row>
          <xdr:rowOff>209550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78</xdr:row>
          <xdr:rowOff>47625</xdr:rowOff>
        </xdr:from>
        <xdr:to>
          <xdr:col>6</xdr:col>
          <xdr:colOff>200025</xdr:colOff>
          <xdr:row>79</xdr:row>
          <xdr:rowOff>95250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83</xdr:row>
          <xdr:rowOff>19050</xdr:rowOff>
        </xdr:from>
        <xdr:to>
          <xdr:col>4</xdr:col>
          <xdr:colOff>295275</xdr:colOff>
          <xdr:row>84</xdr:row>
          <xdr:rowOff>95250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89</xdr:row>
          <xdr:rowOff>38100</xdr:rowOff>
        </xdr:from>
        <xdr:to>
          <xdr:col>3</xdr:col>
          <xdr:colOff>361950</xdr:colOff>
          <xdr:row>90</xdr:row>
          <xdr:rowOff>95250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97</xdr:row>
          <xdr:rowOff>38100</xdr:rowOff>
        </xdr:from>
        <xdr:to>
          <xdr:col>4</xdr:col>
          <xdr:colOff>9525</xdr:colOff>
          <xdr:row>100</xdr:row>
          <xdr:rowOff>57150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106</xdr:row>
          <xdr:rowOff>47625</xdr:rowOff>
        </xdr:from>
        <xdr:to>
          <xdr:col>3</xdr:col>
          <xdr:colOff>323850</xdr:colOff>
          <xdr:row>109</xdr:row>
          <xdr:rowOff>133350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38100</xdr:rowOff>
        </xdr:from>
        <xdr:to>
          <xdr:col>6</xdr:col>
          <xdr:colOff>209550</xdr:colOff>
          <xdr:row>52</xdr:row>
          <xdr:rowOff>238125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108</xdr:row>
          <xdr:rowOff>104775</xdr:rowOff>
        </xdr:from>
        <xdr:to>
          <xdr:col>7</xdr:col>
          <xdr:colOff>200025</xdr:colOff>
          <xdr:row>111</xdr:row>
          <xdr:rowOff>57150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7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123</xdr:row>
          <xdr:rowOff>0</xdr:rowOff>
        </xdr:from>
        <xdr:to>
          <xdr:col>4</xdr:col>
          <xdr:colOff>285750</xdr:colOff>
          <xdr:row>125</xdr:row>
          <xdr:rowOff>66675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7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76200</xdr:rowOff>
        </xdr:from>
        <xdr:to>
          <xdr:col>5</xdr:col>
          <xdr:colOff>219075</xdr:colOff>
          <xdr:row>50</xdr:row>
          <xdr:rowOff>104775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7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190</xdr:row>
          <xdr:rowOff>38100</xdr:rowOff>
        </xdr:from>
        <xdr:to>
          <xdr:col>7</xdr:col>
          <xdr:colOff>304800</xdr:colOff>
          <xdr:row>192</xdr:row>
          <xdr:rowOff>57150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7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14</xdr:row>
      <xdr:rowOff>9524</xdr:rowOff>
    </xdr:from>
    <xdr:to>
      <xdr:col>7</xdr:col>
      <xdr:colOff>145163</xdr:colOff>
      <xdr:row>36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516" t="6534" r="11879" b="1672"/>
        <a:stretch>
          <a:fillRect/>
        </a:stretch>
      </xdr:blipFill>
      <xdr:spPr>
        <a:xfrm>
          <a:off x="638175" y="2657474"/>
          <a:ext cx="4021838" cy="39814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516</xdr:row>
          <xdr:rowOff>114300</xdr:rowOff>
        </xdr:from>
        <xdr:to>
          <xdr:col>14</xdr:col>
          <xdr:colOff>161925</xdr:colOff>
          <xdr:row>519</xdr:row>
          <xdr:rowOff>47625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8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470</xdr:row>
          <xdr:rowOff>133350</xdr:rowOff>
        </xdr:from>
        <xdr:to>
          <xdr:col>10</xdr:col>
          <xdr:colOff>161925</xdr:colOff>
          <xdr:row>476</xdr:row>
          <xdr:rowOff>104775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8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132</xdr:row>
          <xdr:rowOff>47625</xdr:rowOff>
        </xdr:from>
        <xdr:to>
          <xdr:col>5</xdr:col>
          <xdr:colOff>238125</xdr:colOff>
          <xdr:row>134</xdr:row>
          <xdr:rowOff>133350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8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145</xdr:row>
          <xdr:rowOff>38100</xdr:rowOff>
        </xdr:from>
        <xdr:to>
          <xdr:col>9</xdr:col>
          <xdr:colOff>390525</xdr:colOff>
          <xdr:row>147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8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283</xdr:row>
          <xdr:rowOff>95250</xdr:rowOff>
        </xdr:from>
        <xdr:to>
          <xdr:col>4</xdr:col>
          <xdr:colOff>257175</xdr:colOff>
          <xdr:row>289</xdr:row>
          <xdr:rowOff>57150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8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9.bin"/><Relationship Id="rId26" Type="http://schemas.openxmlformats.org/officeDocument/2006/relationships/image" Target="../media/image10.emf"/><Relationship Id="rId3" Type="http://schemas.openxmlformats.org/officeDocument/2006/relationships/vmlDrawing" Target="../drawings/vmlDrawing2.vml"/><Relationship Id="rId21" Type="http://schemas.openxmlformats.org/officeDocument/2006/relationships/oleObject" Target="../embeddings/oleObject11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3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7.bin"/><Relationship Id="rId20" Type="http://schemas.openxmlformats.org/officeDocument/2006/relationships/image" Target="../media/image7.emf"/><Relationship Id="rId29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image" Target="../media/image9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oleObject" Target="../embeddings/oleObject12.bin"/><Relationship Id="rId28" Type="http://schemas.openxmlformats.org/officeDocument/2006/relationships/image" Target="../media/image11.emf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0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image" Target="../media/image8.emf"/><Relationship Id="rId27" Type="http://schemas.openxmlformats.org/officeDocument/2006/relationships/oleObject" Target="../embeddings/oleObject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7.bin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6.bin"/><Relationship Id="rId9" Type="http://schemas.openxmlformats.org/officeDocument/2006/relationships/image" Target="../media/image14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2.bin"/><Relationship Id="rId13" Type="http://schemas.openxmlformats.org/officeDocument/2006/relationships/image" Target="../media/image20.e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17.emf"/><Relationship Id="rId12" Type="http://schemas.openxmlformats.org/officeDocument/2006/relationships/oleObject" Target="../embeddings/oleObject24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1.bin"/><Relationship Id="rId11" Type="http://schemas.openxmlformats.org/officeDocument/2006/relationships/image" Target="../media/image19.emf"/><Relationship Id="rId5" Type="http://schemas.openxmlformats.org/officeDocument/2006/relationships/image" Target="../media/image16.emf"/><Relationship Id="rId10" Type="http://schemas.openxmlformats.org/officeDocument/2006/relationships/oleObject" Target="../embeddings/oleObject23.bin"/><Relationship Id="rId4" Type="http://schemas.openxmlformats.org/officeDocument/2006/relationships/oleObject" Target="../embeddings/oleObject20.bin"/><Relationship Id="rId9" Type="http://schemas.openxmlformats.org/officeDocument/2006/relationships/image" Target="../media/image1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600"/>
  <sheetViews>
    <sheetView tabSelected="1" view="pageLayout" topLeftCell="C497" zoomScale="85" zoomScaleNormal="85" zoomScaleSheetLayoutView="100" zoomScalePageLayoutView="85" workbookViewId="0">
      <selection activeCell="E406" sqref="E406"/>
    </sheetView>
  </sheetViews>
  <sheetFormatPr defaultColWidth="9.140625" defaultRowHeight="18" x14ac:dyDescent="0.25"/>
  <cols>
    <col min="1" max="1" width="9.140625" style="171" hidden="1" customWidth="1"/>
    <col min="2" max="2" width="9.140625" style="167" hidden="1" customWidth="1"/>
    <col min="3" max="3" width="5" style="22" customWidth="1"/>
    <col min="4" max="4" width="55.140625" style="21" customWidth="1"/>
    <col min="5" max="5" width="33.5703125" style="71" customWidth="1"/>
    <col min="6" max="6" width="14.140625" style="24" customWidth="1"/>
    <col min="7" max="7" width="9.140625" style="64" hidden="1" customWidth="1"/>
    <col min="8" max="8" width="9.140625" style="21" customWidth="1"/>
    <col min="9" max="16384" width="9.140625" style="21"/>
  </cols>
  <sheetData>
    <row r="1" spans="1:10" ht="18" customHeight="1" x14ac:dyDescent="0.25">
      <c r="A1" s="171">
        <v>24</v>
      </c>
      <c r="B1" s="167">
        <v>24</v>
      </c>
      <c r="C1" s="373" t="s">
        <v>188</v>
      </c>
      <c r="D1" s="373"/>
      <c r="F1" s="19"/>
      <c r="G1" s="63"/>
      <c r="H1" s="20"/>
      <c r="I1" s="20"/>
      <c r="J1" s="20"/>
    </row>
    <row r="2" spans="1:10" ht="18" customHeight="1" x14ac:dyDescent="0.25">
      <c r="A2" s="171">
        <v>36</v>
      </c>
      <c r="B2" s="167">
        <v>24</v>
      </c>
      <c r="C2" s="22">
        <v>1</v>
      </c>
      <c r="D2" s="23" t="s">
        <v>917</v>
      </c>
      <c r="E2" s="162" t="s">
        <v>951</v>
      </c>
      <c r="F2" s="19"/>
      <c r="G2" s="63"/>
      <c r="H2" s="20"/>
      <c r="I2" s="20"/>
      <c r="J2" s="20"/>
    </row>
    <row r="3" spans="1:10" ht="18" customHeight="1" x14ac:dyDescent="0.25">
      <c r="A3" s="171">
        <v>36</v>
      </c>
      <c r="B3" s="167">
        <v>24</v>
      </c>
      <c r="C3" s="22">
        <f>C2+1</f>
        <v>2</v>
      </c>
      <c r="D3" s="23" t="s">
        <v>920</v>
      </c>
      <c r="E3" s="368"/>
      <c r="F3" s="19"/>
      <c r="G3" s="63">
        <v>2</v>
      </c>
      <c r="H3" s="20"/>
      <c r="I3" s="20"/>
      <c r="J3" s="20"/>
    </row>
    <row r="4" spans="1:10" s="75" customFormat="1" ht="18" customHeight="1" x14ac:dyDescent="0.25">
      <c r="A4" s="171">
        <v>36</v>
      </c>
      <c r="B4" s="167">
        <v>24</v>
      </c>
      <c r="C4" s="22">
        <f t="shared" ref="C4:C8" si="0">C3+1</f>
        <v>3</v>
      </c>
      <c r="D4" s="23" t="s">
        <v>945</v>
      </c>
      <c r="E4" s="368"/>
      <c r="F4" s="19"/>
      <c r="G4" s="63">
        <v>2</v>
      </c>
      <c r="H4" s="20"/>
      <c r="I4" s="20"/>
      <c r="J4" s="20"/>
    </row>
    <row r="5" spans="1:10" s="75" customFormat="1" ht="18" customHeight="1" x14ac:dyDescent="0.25">
      <c r="A5" s="171">
        <v>36</v>
      </c>
      <c r="B5" s="167">
        <v>24</v>
      </c>
      <c r="C5" s="22">
        <f t="shared" si="0"/>
        <v>4</v>
      </c>
      <c r="D5" s="23" t="s">
        <v>922</v>
      </c>
      <c r="E5" s="162" t="s">
        <v>950</v>
      </c>
      <c r="F5" s="19"/>
      <c r="G5" s="63"/>
      <c r="H5" s="20"/>
      <c r="I5" s="20"/>
      <c r="J5" s="20"/>
    </row>
    <row r="6" spans="1:10" ht="18" customHeight="1" x14ac:dyDescent="0.25">
      <c r="A6" s="171">
        <v>36</v>
      </c>
      <c r="B6" s="167">
        <v>24</v>
      </c>
      <c r="C6" s="22">
        <f t="shared" si="0"/>
        <v>5</v>
      </c>
      <c r="D6" s="23" t="s">
        <v>923</v>
      </c>
      <c r="E6" s="162" t="s">
        <v>949</v>
      </c>
      <c r="F6" s="19"/>
      <c r="G6" s="63"/>
      <c r="H6" s="20"/>
      <c r="I6" s="20"/>
      <c r="J6" s="20"/>
    </row>
    <row r="7" spans="1:10" ht="18" customHeight="1" x14ac:dyDescent="0.25">
      <c r="A7" s="171">
        <v>36</v>
      </c>
      <c r="B7" s="167">
        <v>24</v>
      </c>
      <c r="C7" s="22">
        <f t="shared" si="0"/>
        <v>6</v>
      </c>
      <c r="D7" s="23" t="s">
        <v>918</v>
      </c>
      <c r="E7" s="369"/>
      <c r="F7" s="19"/>
      <c r="G7" s="63">
        <v>12</v>
      </c>
      <c r="H7" s="20"/>
      <c r="I7" s="20"/>
      <c r="J7" s="20"/>
    </row>
    <row r="8" spans="1:10" ht="18" customHeight="1" x14ac:dyDescent="0.25">
      <c r="A8" s="171">
        <v>36</v>
      </c>
      <c r="B8" s="167">
        <v>24</v>
      </c>
      <c r="C8" s="22">
        <f t="shared" si="0"/>
        <v>7</v>
      </c>
      <c r="D8" s="23" t="s">
        <v>919</v>
      </c>
      <c r="E8" s="162" t="s">
        <v>946</v>
      </c>
      <c r="F8" s="19"/>
      <c r="G8" s="63"/>
      <c r="H8" s="20"/>
      <c r="I8" s="20"/>
      <c r="J8" s="20"/>
    </row>
    <row r="9" spans="1:10" ht="12" customHeight="1" x14ac:dyDescent="0.25">
      <c r="A9" s="171">
        <v>16</v>
      </c>
      <c r="B9" s="167">
        <v>16</v>
      </c>
      <c r="F9" s="19"/>
      <c r="G9" s="63"/>
      <c r="H9" s="20"/>
      <c r="I9" s="20"/>
      <c r="J9" s="20"/>
    </row>
    <row r="10" spans="1:10" ht="18" customHeight="1" x14ac:dyDescent="0.25">
      <c r="A10" s="171">
        <v>24</v>
      </c>
      <c r="B10" s="167">
        <v>24</v>
      </c>
      <c r="C10" s="373" t="s">
        <v>189</v>
      </c>
      <c r="D10" s="373"/>
      <c r="F10" s="19"/>
      <c r="G10" s="63"/>
      <c r="H10" s="20"/>
      <c r="I10" s="20"/>
      <c r="J10" s="20"/>
    </row>
    <row r="11" spans="1:10" ht="18" customHeight="1" x14ac:dyDescent="0.25">
      <c r="A11" s="171">
        <v>36</v>
      </c>
      <c r="B11" s="167">
        <v>24</v>
      </c>
      <c r="C11" s="22">
        <f>C8+1</f>
        <v>8</v>
      </c>
      <c r="D11" s="23" t="s">
        <v>97</v>
      </c>
      <c r="E11" s="162" t="s">
        <v>947</v>
      </c>
      <c r="F11" s="19"/>
      <c r="G11" s="63"/>
      <c r="H11" s="20"/>
      <c r="I11" s="20"/>
      <c r="J11" s="20"/>
    </row>
    <row r="12" spans="1:10" ht="18" customHeight="1" x14ac:dyDescent="0.25">
      <c r="A12" s="171">
        <v>36</v>
      </c>
      <c r="B12" s="167">
        <v>24</v>
      </c>
      <c r="C12" s="22">
        <f>C11+1</f>
        <v>9</v>
      </c>
      <c r="D12" s="23" t="s">
        <v>98</v>
      </c>
      <c r="E12" s="227">
        <v>42908</v>
      </c>
      <c r="F12" s="19"/>
      <c r="G12" s="63"/>
      <c r="H12" s="20"/>
      <c r="I12" s="20"/>
      <c r="J12" s="20"/>
    </row>
    <row r="13" spans="1:10" ht="12" customHeight="1" x14ac:dyDescent="0.25">
      <c r="A13" s="171">
        <v>16</v>
      </c>
      <c r="B13" s="167">
        <v>16</v>
      </c>
      <c r="F13" s="19"/>
      <c r="G13" s="63"/>
      <c r="H13" s="20"/>
      <c r="I13" s="20"/>
      <c r="J13" s="20"/>
    </row>
    <row r="14" spans="1:10" ht="18" customHeight="1" x14ac:dyDescent="0.25">
      <c r="A14" s="171">
        <v>24</v>
      </c>
      <c r="B14" s="167">
        <v>24</v>
      </c>
      <c r="C14" s="373" t="s">
        <v>37</v>
      </c>
      <c r="D14" s="373"/>
    </row>
    <row r="15" spans="1:10" ht="18" customHeight="1" x14ac:dyDescent="0.25">
      <c r="A15" s="171">
        <v>36</v>
      </c>
      <c r="B15" s="167">
        <v>24</v>
      </c>
      <c r="C15" s="22">
        <f>C12+1</f>
        <v>10</v>
      </c>
      <c r="D15" s="23" t="s">
        <v>137</v>
      </c>
      <c r="E15" s="162">
        <v>20</v>
      </c>
      <c r="F15" s="24" t="s">
        <v>136</v>
      </c>
    </row>
    <row r="16" spans="1:10" ht="7.5" hidden="1" customHeight="1" x14ac:dyDescent="0.25">
      <c r="A16" s="171">
        <v>10</v>
      </c>
      <c r="B16" s="167">
        <v>1</v>
      </c>
      <c r="D16" s="23"/>
    </row>
    <row r="17" spans="1:7" ht="18" customHeight="1" x14ac:dyDescent="0.25">
      <c r="A17" s="171">
        <v>24</v>
      </c>
      <c r="B17" s="167">
        <v>24</v>
      </c>
      <c r="C17" s="22">
        <f>C15+1</f>
        <v>11</v>
      </c>
      <c r="D17" s="23" t="s">
        <v>38</v>
      </c>
      <c r="E17" s="69">
        <v>1</v>
      </c>
      <c r="G17" s="64">
        <v>3</v>
      </c>
    </row>
    <row r="18" spans="1:7" ht="18" hidden="1" customHeight="1" x14ac:dyDescent="0.25">
      <c r="A18" s="171">
        <v>24</v>
      </c>
      <c r="B18" s="167">
        <v>1</v>
      </c>
      <c r="E18" s="228" t="str">
        <f>'Lists-Hidden'!D3</f>
        <v>Yes</v>
      </c>
    </row>
    <row r="19" spans="1:7" ht="18" hidden="1" customHeight="1" x14ac:dyDescent="0.25">
      <c r="A19" s="171">
        <v>24</v>
      </c>
      <c r="B19" s="167">
        <v>1</v>
      </c>
      <c r="E19" s="228" t="str">
        <f>'Lists-Hidden'!D4</f>
        <v>No</v>
      </c>
    </row>
    <row r="20" spans="1:7" s="18" customFormat="1" ht="7.5" hidden="1" customHeight="1" x14ac:dyDescent="0.25">
      <c r="A20" s="18">
        <v>10</v>
      </c>
      <c r="B20" s="18">
        <v>1</v>
      </c>
      <c r="C20" s="25"/>
      <c r="E20" s="229"/>
      <c r="F20" s="26"/>
      <c r="G20" s="65"/>
    </row>
    <row r="21" spans="1:7" ht="18" customHeight="1" x14ac:dyDescent="0.25">
      <c r="A21" s="171">
        <v>24</v>
      </c>
      <c r="B21" s="167">
        <v>24</v>
      </c>
      <c r="C21" s="22">
        <f>C17+1</f>
        <v>12</v>
      </c>
      <c r="D21" s="23" t="s">
        <v>88</v>
      </c>
      <c r="E21" s="228"/>
      <c r="G21" s="64">
        <v>2</v>
      </c>
    </row>
    <row r="22" spans="1:7" ht="18" hidden="1" customHeight="1" x14ac:dyDescent="0.25">
      <c r="A22" s="171">
        <v>24</v>
      </c>
      <c r="B22" s="167">
        <v>1</v>
      </c>
      <c r="E22" s="228" t="str">
        <f>'Lists-Hidden'!D3</f>
        <v>Yes</v>
      </c>
    </row>
    <row r="23" spans="1:7" ht="18" hidden="1" customHeight="1" x14ac:dyDescent="0.25">
      <c r="A23" s="171">
        <v>24</v>
      </c>
      <c r="B23" s="167">
        <v>1</v>
      </c>
      <c r="E23" s="230" t="str">
        <f>'Lists-Hidden'!D4</f>
        <v>No</v>
      </c>
    </row>
    <row r="24" spans="1:7" ht="18" customHeight="1" x14ac:dyDescent="0.25">
      <c r="A24" s="171">
        <v>36</v>
      </c>
      <c r="B24" s="167">
        <v>24</v>
      </c>
      <c r="C24" s="22">
        <f>C21+1</f>
        <v>13</v>
      </c>
      <c r="D24" s="23" t="s">
        <v>138</v>
      </c>
      <c r="E24" s="164">
        <v>0</v>
      </c>
      <c r="F24" s="24" t="s">
        <v>133</v>
      </c>
    </row>
    <row r="25" spans="1:7" ht="18" customHeight="1" x14ac:dyDescent="0.25">
      <c r="A25" s="171">
        <v>36</v>
      </c>
      <c r="B25" s="167">
        <v>24</v>
      </c>
      <c r="C25" s="22">
        <f>C24+1</f>
        <v>14</v>
      </c>
      <c r="D25" s="27" t="s">
        <v>168</v>
      </c>
      <c r="E25" s="162">
        <v>1</v>
      </c>
    </row>
    <row r="26" spans="1:7" ht="9.9499999999999993" hidden="1" customHeight="1" x14ac:dyDescent="0.25">
      <c r="B26" s="167">
        <v>1</v>
      </c>
      <c r="D26" s="370" t="s">
        <v>169</v>
      </c>
      <c r="E26" s="370"/>
    </row>
    <row r="27" spans="1:7" ht="18" customHeight="1" x14ac:dyDescent="0.25">
      <c r="A27" s="171">
        <v>24</v>
      </c>
      <c r="B27" s="167">
        <v>24</v>
      </c>
      <c r="C27" s="22">
        <f>C25+1</f>
        <v>15</v>
      </c>
      <c r="D27" s="23" t="s">
        <v>39</v>
      </c>
      <c r="E27" s="69">
        <v>1</v>
      </c>
      <c r="G27" s="64">
        <v>2</v>
      </c>
    </row>
    <row r="28" spans="1:7" ht="18" hidden="1" customHeight="1" x14ac:dyDescent="0.25">
      <c r="A28" s="171">
        <v>24</v>
      </c>
      <c r="B28" s="167">
        <v>1</v>
      </c>
      <c r="E28" s="228" t="str">
        <f>'Lists-Hidden'!B58</f>
        <v>Well</v>
      </c>
    </row>
    <row r="29" spans="1:7" ht="18" hidden="1" customHeight="1" x14ac:dyDescent="0.25">
      <c r="A29" s="171">
        <v>24</v>
      </c>
      <c r="B29" s="167">
        <v>1</v>
      </c>
      <c r="E29" s="228" t="str">
        <f>'Lists-Hidden'!B59</f>
        <v>Surface</v>
      </c>
    </row>
    <row r="30" spans="1:7" ht="18" hidden="1" customHeight="1" x14ac:dyDescent="0.25">
      <c r="A30" s="171">
        <v>24</v>
      </c>
      <c r="B30" s="167">
        <v>1</v>
      </c>
      <c r="E30" s="230" t="str">
        <f>'Lists-Hidden'!B60</f>
        <v>Both</v>
      </c>
    </row>
    <row r="31" spans="1:7" ht="12" customHeight="1" x14ac:dyDescent="0.25">
      <c r="A31" s="171">
        <v>16</v>
      </c>
      <c r="B31" s="167">
        <v>16</v>
      </c>
      <c r="E31" s="231"/>
    </row>
    <row r="32" spans="1:7" ht="18" customHeight="1" x14ac:dyDescent="0.25">
      <c r="A32" s="171">
        <v>24</v>
      </c>
      <c r="B32" s="167">
        <v>24</v>
      </c>
      <c r="C32" s="373" t="s">
        <v>116</v>
      </c>
      <c r="D32" s="373"/>
    </row>
    <row r="33" spans="1:7" ht="18" customHeight="1" x14ac:dyDescent="0.25">
      <c r="A33" s="171">
        <v>36</v>
      </c>
      <c r="B33" s="167">
        <v>24</v>
      </c>
      <c r="C33" s="22">
        <f>C27+1</f>
        <v>16</v>
      </c>
      <c r="D33" s="23" t="s">
        <v>1</v>
      </c>
      <c r="E33" s="162" t="s">
        <v>948</v>
      </c>
    </row>
    <row r="34" spans="1:7" ht="18" customHeight="1" x14ac:dyDescent="0.25">
      <c r="A34" s="171">
        <v>36</v>
      </c>
      <c r="B34" s="167">
        <v>24</v>
      </c>
      <c r="C34" s="22">
        <f>C33+1</f>
        <v>17</v>
      </c>
      <c r="D34" s="23" t="s">
        <v>2</v>
      </c>
      <c r="E34" s="163" t="s">
        <v>952</v>
      </c>
    </row>
    <row r="35" spans="1:7" ht="18" customHeight="1" x14ac:dyDescent="0.25">
      <c r="A35" s="171">
        <v>36</v>
      </c>
      <c r="B35" s="167">
        <v>24</v>
      </c>
      <c r="C35" s="22">
        <f>C34+1</f>
        <v>18</v>
      </c>
      <c r="D35" s="23" t="s">
        <v>4</v>
      </c>
      <c r="E35" s="162">
        <v>1</v>
      </c>
    </row>
    <row r="36" spans="1:7" ht="7.5" hidden="1" customHeight="1" x14ac:dyDescent="0.25">
      <c r="A36" s="171">
        <v>10</v>
      </c>
      <c r="B36" s="167">
        <v>1</v>
      </c>
      <c r="D36" s="23"/>
    </row>
    <row r="37" spans="1:7" ht="18" customHeight="1" x14ac:dyDescent="0.25">
      <c r="A37" s="171">
        <v>24</v>
      </c>
      <c r="B37" s="167">
        <v>24</v>
      </c>
      <c r="C37" s="22">
        <f>C35+1</f>
        <v>19</v>
      </c>
      <c r="D37" s="23" t="s">
        <v>0</v>
      </c>
      <c r="E37" s="69">
        <v>1</v>
      </c>
      <c r="G37" s="64">
        <v>2</v>
      </c>
    </row>
    <row r="38" spans="1:7" ht="18" hidden="1" customHeight="1" x14ac:dyDescent="0.25">
      <c r="A38" s="171">
        <v>24</v>
      </c>
      <c r="B38" s="167">
        <v>1</v>
      </c>
      <c r="E38" s="228" t="str">
        <f>'Lists-Hidden'!B3</f>
        <v>gph</v>
      </c>
    </row>
    <row r="39" spans="1:7" ht="18" hidden="1" customHeight="1" x14ac:dyDescent="0.25">
      <c r="A39" s="171">
        <v>24</v>
      </c>
      <c r="B39" s="167">
        <v>1</v>
      </c>
      <c r="E39" s="228" t="str">
        <f>'Lists-Hidden'!B4</f>
        <v>lph</v>
      </c>
    </row>
    <row r="40" spans="1:7" ht="7.5" hidden="1" customHeight="1" x14ac:dyDescent="0.25">
      <c r="A40" s="171">
        <v>10</v>
      </c>
      <c r="B40" s="167">
        <v>1</v>
      </c>
      <c r="E40" s="232"/>
    </row>
    <row r="41" spans="1:7" ht="7.5" hidden="1" customHeight="1" x14ac:dyDescent="0.25">
      <c r="A41" s="171">
        <v>10</v>
      </c>
      <c r="B41" s="167">
        <v>1</v>
      </c>
      <c r="E41" s="231"/>
    </row>
    <row r="42" spans="1:7" ht="18" customHeight="1" x14ac:dyDescent="0.25">
      <c r="A42" s="171">
        <v>24</v>
      </c>
      <c r="B42" s="167">
        <v>24</v>
      </c>
      <c r="C42" s="22">
        <f>C37+1</f>
        <v>20</v>
      </c>
      <c r="D42" s="23" t="s">
        <v>3</v>
      </c>
      <c r="E42" s="69">
        <v>1</v>
      </c>
      <c r="G42" s="64">
        <v>3</v>
      </c>
    </row>
    <row r="43" spans="1:7" ht="18" hidden="1" customHeight="1" x14ac:dyDescent="0.25">
      <c r="A43" s="171">
        <v>24</v>
      </c>
      <c r="B43" s="167">
        <v>1</v>
      </c>
      <c r="E43" s="233" t="str">
        <f>'Lists-Hidden'!B9</f>
        <v>Long, smooth path</v>
      </c>
    </row>
    <row r="44" spans="1:7" ht="18" hidden="1" customHeight="1" x14ac:dyDescent="0.25">
      <c r="A44" s="171">
        <v>24</v>
      </c>
      <c r="B44" s="167">
        <v>1</v>
      </c>
      <c r="E44" s="233" t="str">
        <f>'Lists-Hidden'!B10</f>
        <v>Pressure compensating</v>
      </c>
    </row>
    <row r="45" spans="1:7" ht="18" hidden="1" customHeight="1" x14ac:dyDescent="0.25">
      <c r="A45" s="171">
        <v>24</v>
      </c>
      <c r="B45" s="167">
        <v>1</v>
      </c>
      <c r="E45" s="233" t="str">
        <f>'Lists-Hidden'!B11</f>
        <v>Vortex</v>
      </c>
    </row>
    <row r="46" spans="1:7" ht="18" hidden="1" customHeight="1" x14ac:dyDescent="0.25">
      <c r="A46" s="171">
        <v>24</v>
      </c>
      <c r="B46" s="167">
        <v>1</v>
      </c>
      <c r="E46" s="233" t="str">
        <f>'Lists-Hidden'!B12</f>
        <v>Tortuous path</v>
      </c>
    </row>
    <row r="47" spans="1:7" ht="18" hidden="1" customHeight="1" x14ac:dyDescent="0.25">
      <c r="A47" s="171">
        <v>24</v>
      </c>
      <c r="B47" s="167">
        <v>1</v>
      </c>
      <c r="E47" s="233" t="str">
        <f>'Lists-Hidden'!B13</f>
        <v>Mult. flexible orifice</v>
      </c>
    </row>
    <row r="48" spans="1:7" ht="18" hidden="1" customHeight="1" x14ac:dyDescent="0.25">
      <c r="A48" s="171">
        <v>24</v>
      </c>
      <c r="B48" s="167">
        <v>1</v>
      </c>
      <c r="E48" s="233" t="str">
        <f>'Lists-Hidden'!B14</f>
        <v>Rotating microsprinkler</v>
      </c>
    </row>
    <row r="49" spans="1:7" ht="18" hidden="1" customHeight="1" x14ac:dyDescent="0.25">
      <c r="A49" s="171">
        <v>24</v>
      </c>
      <c r="B49" s="167">
        <v>1</v>
      </c>
      <c r="E49" s="233" t="str">
        <f>'Lists-Hidden'!B15</f>
        <v>Non-rotating microsprayer</v>
      </c>
    </row>
    <row r="50" spans="1:7" ht="18" hidden="1" customHeight="1" x14ac:dyDescent="0.25">
      <c r="A50" s="171">
        <v>24</v>
      </c>
      <c r="B50" s="167">
        <v>1</v>
      </c>
      <c r="E50" s="234" t="str">
        <f>'Lists-Hidden'!B16</f>
        <v>Other</v>
      </c>
    </row>
    <row r="51" spans="1:7" ht="12" customHeight="1" x14ac:dyDescent="0.25">
      <c r="A51" s="171">
        <v>16</v>
      </c>
      <c r="B51" s="167">
        <v>16</v>
      </c>
    </row>
    <row r="52" spans="1:7" ht="18" customHeight="1" x14ac:dyDescent="0.25">
      <c r="A52" s="171">
        <v>24</v>
      </c>
      <c r="B52" s="167">
        <v>24</v>
      </c>
      <c r="C52" s="373" t="s">
        <v>19</v>
      </c>
      <c r="D52" s="373"/>
    </row>
    <row r="53" spans="1:7" ht="18" customHeight="1" x14ac:dyDescent="0.25">
      <c r="A53" s="171">
        <v>24</v>
      </c>
      <c r="B53" s="167">
        <v>24</v>
      </c>
      <c r="C53" s="22">
        <f>C42+1</f>
        <v>21</v>
      </c>
      <c r="D53" s="23" t="s">
        <v>21</v>
      </c>
      <c r="E53" s="69">
        <v>1</v>
      </c>
      <c r="G53" s="64">
        <v>2</v>
      </c>
    </row>
    <row r="54" spans="1:7" ht="18" hidden="1" customHeight="1" x14ac:dyDescent="0.25">
      <c r="A54" s="171">
        <v>24</v>
      </c>
      <c r="B54" s="167">
        <v>1</v>
      </c>
      <c r="E54" s="228" t="str">
        <f>'Lists-Hidden'!D3</f>
        <v>Yes</v>
      </c>
    </row>
    <row r="55" spans="1:7" ht="18" hidden="1" customHeight="1" x14ac:dyDescent="0.25">
      <c r="A55" s="171">
        <v>24</v>
      </c>
      <c r="B55" s="167">
        <v>1</v>
      </c>
      <c r="E55" s="230" t="str">
        <f>'Lists-Hidden'!D4</f>
        <v>No</v>
      </c>
    </row>
    <row r="56" spans="1:7" ht="7.5" hidden="1" customHeight="1" x14ac:dyDescent="0.25">
      <c r="A56" s="171">
        <v>10</v>
      </c>
      <c r="B56" s="167">
        <v>1</v>
      </c>
    </row>
    <row r="57" spans="1:7" ht="18" customHeight="1" x14ac:dyDescent="0.25">
      <c r="A57" s="171">
        <v>24</v>
      </c>
      <c r="B57" s="167">
        <v>24</v>
      </c>
      <c r="D57" s="28" t="s">
        <v>20</v>
      </c>
    </row>
    <row r="58" spans="1:7" ht="18" customHeight="1" x14ac:dyDescent="0.25">
      <c r="A58" s="171">
        <v>24</v>
      </c>
      <c r="B58" s="167">
        <v>24</v>
      </c>
      <c r="C58" s="22">
        <f>C53+1</f>
        <v>22</v>
      </c>
      <c r="D58" s="23" t="s">
        <v>22</v>
      </c>
      <c r="E58" s="69">
        <v>1</v>
      </c>
      <c r="G58" s="64">
        <v>2</v>
      </c>
    </row>
    <row r="59" spans="1:7" ht="18" hidden="1" customHeight="1" x14ac:dyDescent="0.25">
      <c r="A59" s="171">
        <v>24</v>
      </c>
      <c r="B59" s="167">
        <v>1</v>
      </c>
      <c r="D59" s="29"/>
      <c r="E59" s="228" t="str">
        <f>'Lists-Hidden'!D3</f>
        <v>Yes</v>
      </c>
    </row>
    <row r="60" spans="1:7" ht="18" hidden="1" customHeight="1" x14ac:dyDescent="0.25">
      <c r="A60" s="171">
        <v>24</v>
      </c>
      <c r="B60" s="167">
        <v>1</v>
      </c>
      <c r="D60" s="29"/>
      <c r="E60" s="228" t="str">
        <f>'Lists-Hidden'!D4</f>
        <v>No</v>
      </c>
    </row>
    <row r="61" spans="1:7" ht="7.5" hidden="1" customHeight="1" x14ac:dyDescent="0.25">
      <c r="A61" s="171">
        <v>10</v>
      </c>
      <c r="B61" s="167">
        <v>1</v>
      </c>
      <c r="D61" s="29"/>
      <c r="E61" s="229"/>
    </row>
    <row r="62" spans="1:7" ht="18" customHeight="1" x14ac:dyDescent="0.25">
      <c r="A62" s="171">
        <v>24</v>
      </c>
      <c r="B62" s="167">
        <v>24</v>
      </c>
      <c r="C62" s="22">
        <f>C58+1</f>
        <v>23</v>
      </c>
      <c r="D62" s="23" t="s">
        <v>23</v>
      </c>
      <c r="E62" s="70">
        <v>1</v>
      </c>
      <c r="G62" s="64">
        <v>3</v>
      </c>
    </row>
    <row r="63" spans="1:7" ht="18" hidden="1" customHeight="1" x14ac:dyDescent="0.25">
      <c r="A63" s="171">
        <v>24</v>
      </c>
      <c r="B63" s="167">
        <v>1</v>
      </c>
      <c r="D63" s="29"/>
      <c r="E63" s="228" t="str">
        <f>'Lists-Hidden'!D3</f>
        <v>Yes</v>
      </c>
    </row>
    <row r="64" spans="1:7" ht="18" hidden="1" customHeight="1" x14ac:dyDescent="0.25">
      <c r="A64" s="171">
        <v>24</v>
      </c>
      <c r="B64" s="167">
        <v>1</v>
      </c>
      <c r="D64" s="29"/>
      <c r="E64" s="228" t="str">
        <f>'Lists-Hidden'!D4</f>
        <v>No</v>
      </c>
    </row>
    <row r="65" spans="1:7" ht="7.5" hidden="1" customHeight="1" x14ac:dyDescent="0.25">
      <c r="A65" s="171">
        <v>10</v>
      </c>
      <c r="B65" s="167">
        <v>1</v>
      </c>
      <c r="D65" s="29"/>
      <c r="E65" s="229"/>
    </row>
    <row r="66" spans="1:7" ht="18" customHeight="1" x14ac:dyDescent="0.25">
      <c r="A66" s="171">
        <v>24</v>
      </c>
      <c r="B66" s="167">
        <v>24</v>
      </c>
      <c r="C66" s="22">
        <f>C62+1</f>
        <v>24</v>
      </c>
      <c r="D66" s="23" t="s">
        <v>24</v>
      </c>
      <c r="E66" s="70">
        <v>1</v>
      </c>
      <c r="G66" s="64">
        <v>3</v>
      </c>
    </row>
    <row r="67" spans="1:7" ht="18" hidden="1" customHeight="1" x14ac:dyDescent="0.25">
      <c r="A67" s="171">
        <v>24</v>
      </c>
      <c r="B67" s="167">
        <v>1</v>
      </c>
      <c r="D67" s="29"/>
      <c r="E67" s="228" t="str">
        <f>'Lists-Hidden'!D3</f>
        <v>Yes</v>
      </c>
    </row>
    <row r="68" spans="1:7" ht="18" hidden="1" customHeight="1" x14ac:dyDescent="0.25">
      <c r="A68" s="171">
        <v>24</v>
      </c>
      <c r="B68" s="167">
        <v>1</v>
      </c>
      <c r="D68" s="29"/>
      <c r="E68" s="228" t="str">
        <f>'Lists-Hidden'!D4</f>
        <v>No</v>
      </c>
    </row>
    <row r="69" spans="1:7" ht="7.5" hidden="1" customHeight="1" x14ac:dyDescent="0.25">
      <c r="A69" s="171">
        <v>10</v>
      </c>
      <c r="B69" s="167">
        <v>1</v>
      </c>
      <c r="D69" s="29"/>
      <c r="E69" s="229"/>
    </row>
    <row r="70" spans="1:7" ht="18" customHeight="1" x14ac:dyDescent="0.25">
      <c r="A70" s="171">
        <v>24</v>
      </c>
      <c r="B70" s="167">
        <v>24</v>
      </c>
      <c r="C70" s="22">
        <f>C66+1</f>
        <v>25</v>
      </c>
      <c r="D70" s="23" t="s">
        <v>25</v>
      </c>
      <c r="E70" s="70">
        <v>1</v>
      </c>
      <c r="G70" s="64">
        <v>3</v>
      </c>
    </row>
    <row r="71" spans="1:7" ht="18" hidden="1" customHeight="1" x14ac:dyDescent="0.25">
      <c r="A71" s="171">
        <v>24</v>
      </c>
      <c r="B71" s="167">
        <v>1</v>
      </c>
      <c r="D71" s="29"/>
      <c r="E71" s="228" t="str">
        <f>'Lists-Hidden'!D3</f>
        <v>Yes</v>
      </c>
    </row>
    <row r="72" spans="1:7" ht="18" hidden="1" customHeight="1" x14ac:dyDescent="0.25">
      <c r="A72" s="171">
        <v>24</v>
      </c>
      <c r="B72" s="167">
        <v>1</v>
      </c>
      <c r="D72" s="29"/>
      <c r="E72" s="228" t="str">
        <f>'Lists-Hidden'!D4</f>
        <v>No</v>
      </c>
    </row>
    <row r="73" spans="1:7" ht="7.5" hidden="1" customHeight="1" x14ac:dyDescent="0.25">
      <c r="A73" s="171">
        <v>10</v>
      </c>
      <c r="B73" s="167">
        <v>1</v>
      </c>
      <c r="D73" s="29"/>
      <c r="E73" s="229"/>
    </row>
    <row r="74" spans="1:7" ht="18" customHeight="1" x14ac:dyDescent="0.25">
      <c r="A74" s="171">
        <v>24</v>
      </c>
      <c r="B74" s="167">
        <v>24</v>
      </c>
      <c r="C74" s="22">
        <f>C70+1</f>
        <v>26</v>
      </c>
      <c r="D74" s="23" t="s">
        <v>87</v>
      </c>
      <c r="E74" s="70">
        <v>1</v>
      </c>
      <c r="G74" s="64">
        <v>3</v>
      </c>
    </row>
    <row r="75" spans="1:7" ht="18" hidden="1" customHeight="1" x14ac:dyDescent="0.25">
      <c r="A75" s="171">
        <v>24</v>
      </c>
      <c r="B75" s="167">
        <v>1</v>
      </c>
      <c r="D75" s="29"/>
      <c r="E75" s="228" t="str">
        <f>'Lists-Hidden'!D3</f>
        <v>Yes</v>
      </c>
    </row>
    <row r="76" spans="1:7" ht="18" hidden="1" customHeight="1" x14ac:dyDescent="0.25">
      <c r="A76" s="171">
        <v>24</v>
      </c>
      <c r="B76" s="167">
        <v>1</v>
      </c>
      <c r="D76" s="29"/>
      <c r="E76" s="228" t="str">
        <f>'Lists-Hidden'!D4</f>
        <v>No</v>
      </c>
    </row>
    <row r="77" spans="1:7" ht="7.5" hidden="1" customHeight="1" x14ac:dyDescent="0.25">
      <c r="A77" s="171">
        <v>10</v>
      </c>
      <c r="B77" s="167">
        <v>1</v>
      </c>
      <c r="D77" s="29"/>
      <c r="E77" s="229"/>
    </row>
    <row r="78" spans="1:7" ht="18" customHeight="1" x14ac:dyDescent="0.25">
      <c r="A78" s="171">
        <v>24</v>
      </c>
      <c r="B78" s="167">
        <v>24</v>
      </c>
      <c r="C78" s="22">
        <f>C74+1</f>
        <v>27</v>
      </c>
      <c r="D78" s="23" t="s">
        <v>26</v>
      </c>
      <c r="E78" s="70">
        <v>1</v>
      </c>
      <c r="G78" s="64">
        <v>2</v>
      </c>
    </row>
    <row r="79" spans="1:7" ht="18" hidden="1" customHeight="1" x14ac:dyDescent="0.25">
      <c r="A79" s="171">
        <v>24</v>
      </c>
      <c r="B79" s="167">
        <v>1</v>
      </c>
      <c r="D79" s="29"/>
      <c r="E79" s="228" t="str">
        <f>'Lists-Hidden'!D3</f>
        <v>Yes</v>
      </c>
    </row>
    <row r="80" spans="1:7" ht="18" hidden="1" customHeight="1" x14ac:dyDescent="0.25">
      <c r="A80" s="171">
        <v>24</v>
      </c>
      <c r="B80" s="167">
        <v>1</v>
      </c>
      <c r="D80" s="29"/>
      <c r="E80" s="230" t="str">
        <f>'Lists-Hidden'!D4</f>
        <v>No</v>
      </c>
    </row>
    <row r="81" spans="1:7" ht="12" customHeight="1" x14ac:dyDescent="0.25">
      <c r="A81" s="171">
        <v>16</v>
      </c>
      <c r="B81" s="167">
        <v>16</v>
      </c>
    </row>
    <row r="82" spans="1:7" ht="18" customHeight="1" x14ac:dyDescent="0.25">
      <c r="A82" s="171">
        <v>24</v>
      </c>
      <c r="B82" s="167">
        <v>24</v>
      </c>
      <c r="C82" s="373" t="s">
        <v>27</v>
      </c>
      <c r="D82" s="373"/>
    </row>
    <row r="83" spans="1:7" ht="18" customHeight="1" x14ac:dyDescent="0.25">
      <c r="A83" s="171">
        <v>24</v>
      </c>
      <c r="B83" s="167">
        <v>24</v>
      </c>
      <c r="C83" s="22">
        <f>C78+1</f>
        <v>28</v>
      </c>
      <c r="D83" s="30" t="s">
        <v>240</v>
      </c>
      <c r="E83" s="69">
        <v>1</v>
      </c>
      <c r="G83" s="64">
        <v>4</v>
      </c>
    </row>
    <row r="84" spans="1:7" ht="18" hidden="1" customHeight="1" x14ac:dyDescent="0.25">
      <c r="A84" s="171">
        <v>24</v>
      </c>
      <c r="B84" s="167">
        <v>1</v>
      </c>
      <c r="E84" s="228" t="str">
        <f>'Lists-Hidden'!B20</f>
        <v>No fertilizer injection system</v>
      </c>
    </row>
    <row r="85" spans="1:7" ht="18" hidden="1" customHeight="1" x14ac:dyDescent="0.25">
      <c r="A85" s="171">
        <v>24</v>
      </c>
      <c r="B85" s="167">
        <v>1</v>
      </c>
      <c r="E85" s="228" t="str">
        <f>'Lists-Hidden'!B21</f>
        <v>Downstream</v>
      </c>
    </row>
    <row r="86" spans="1:7" ht="18" hidden="1" customHeight="1" x14ac:dyDescent="0.25">
      <c r="A86" s="171">
        <v>24</v>
      </c>
      <c r="B86" s="167">
        <v>1</v>
      </c>
      <c r="E86" s="230" t="str">
        <f>'Lists-Hidden'!B22</f>
        <v>Upstream</v>
      </c>
    </row>
    <row r="87" spans="1:7" s="75" customFormat="1" ht="12" hidden="1" customHeight="1" x14ac:dyDescent="0.25">
      <c r="A87" s="171">
        <v>16</v>
      </c>
      <c r="B87" s="167">
        <v>1</v>
      </c>
      <c r="C87" s="22"/>
      <c r="E87" s="231"/>
      <c r="F87" s="24"/>
      <c r="G87" s="64"/>
    </row>
    <row r="88" spans="1:7" s="75" customFormat="1" ht="18" customHeight="1" x14ac:dyDescent="0.25">
      <c r="A88" s="171">
        <v>24</v>
      </c>
      <c r="B88" s="167">
        <v>24</v>
      </c>
      <c r="C88" s="22">
        <f>C83+1</f>
        <v>29</v>
      </c>
      <c r="D88" s="30" t="s">
        <v>241</v>
      </c>
      <c r="E88" s="69">
        <v>1</v>
      </c>
      <c r="F88" s="24"/>
      <c r="G88" s="64">
        <v>2</v>
      </c>
    </row>
    <row r="89" spans="1:7" s="75" customFormat="1" ht="18" hidden="1" customHeight="1" x14ac:dyDescent="0.25">
      <c r="A89" s="171">
        <v>24</v>
      </c>
      <c r="B89" s="167">
        <v>1</v>
      </c>
      <c r="C89" s="22"/>
      <c r="E89" s="228" t="str">
        <f>'Lists-Hidden'!B26</f>
        <v>No pesticide injection system</v>
      </c>
      <c r="F89" s="24"/>
      <c r="G89" s="64"/>
    </row>
    <row r="90" spans="1:7" s="75" customFormat="1" ht="18" hidden="1" customHeight="1" x14ac:dyDescent="0.25">
      <c r="A90" s="171">
        <v>24</v>
      </c>
      <c r="B90" s="167">
        <v>1</v>
      </c>
      <c r="C90" s="22"/>
      <c r="E90" s="228" t="str">
        <f>'Lists-Hidden'!B27</f>
        <v>Downstream</v>
      </c>
      <c r="F90" s="24"/>
      <c r="G90" s="64"/>
    </row>
    <row r="91" spans="1:7" s="75" customFormat="1" ht="18" hidden="1" customHeight="1" x14ac:dyDescent="0.25">
      <c r="A91" s="171">
        <v>24</v>
      </c>
      <c r="B91" s="167">
        <v>1</v>
      </c>
      <c r="C91" s="22"/>
      <c r="E91" s="230" t="str">
        <f>'Lists-Hidden'!B28</f>
        <v>Upstream</v>
      </c>
      <c r="F91" s="24"/>
      <c r="G91" s="64"/>
    </row>
    <row r="92" spans="1:7" s="75" customFormat="1" ht="12" hidden="1" customHeight="1" x14ac:dyDescent="0.25">
      <c r="A92" s="171">
        <v>16</v>
      </c>
      <c r="B92" s="167">
        <v>1</v>
      </c>
      <c r="C92" s="22"/>
      <c r="E92" s="231"/>
      <c r="F92" s="24"/>
      <c r="G92" s="64"/>
    </row>
    <row r="93" spans="1:7" s="75" customFormat="1" ht="18" customHeight="1" x14ac:dyDescent="0.25">
      <c r="A93" s="171">
        <v>24</v>
      </c>
      <c r="B93" s="167">
        <v>24</v>
      </c>
      <c r="C93" s="22">
        <f>C88+1</f>
        <v>30</v>
      </c>
      <c r="D93" s="30" t="s">
        <v>242</v>
      </c>
      <c r="E93" s="69">
        <v>1</v>
      </c>
      <c r="F93" s="24"/>
      <c r="G93" s="64">
        <v>2</v>
      </c>
    </row>
    <row r="94" spans="1:7" s="75" customFormat="1" ht="18" hidden="1" customHeight="1" x14ac:dyDescent="0.25">
      <c r="A94" s="171">
        <v>24</v>
      </c>
      <c r="B94" s="167">
        <v>1</v>
      </c>
      <c r="C94" s="22"/>
      <c r="E94" s="228" t="str">
        <f>'Lists-Hidden'!B32</f>
        <v>No acid injection system</v>
      </c>
      <c r="F94" s="24"/>
      <c r="G94" s="64"/>
    </row>
    <row r="95" spans="1:7" s="75" customFormat="1" ht="18" hidden="1" customHeight="1" x14ac:dyDescent="0.25">
      <c r="A95" s="171">
        <v>24</v>
      </c>
      <c r="B95" s="167">
        <v>1</v>
      </c>
      <c r="C95" s="22"/>
      <c r="E95" s="228" t="str">
        <f>'Lists-Hidden'!B33</f>
        <v>Downstream</v>
      </c>
      <c r="F95" s="24"/>
      <c r="G95" s="64"/>
    </row>
    <row r="96" spans="1:7" s="75" customFormat="1" ht="18" hidden="1" customHeight="1" x14ac:dyDescent="0.25">
      <c r="A96" s="171">
        <v>24</v>
      </c>
      <c r="B96" s="167">
        <v>1</v>
      </c>
      <c r="C96" s="22"/>
      <c r="E96" s="230" t="str">
        <f>'Lists-Hidden'!B34</f>
        <v>Upstream</v>
      </c>
      <c r="F96" s="24"/>
      <c r="G96" s="64"/>
    </row>
    <row r="97" spans="1:7" s="167" customFormat="1" ht="8.25" hidden="1" customHeight="1" x14ac:dyDescent="0.25">
      <c r="A97" s="171">
        <v>11</v>
      </c>
      <c r="B97" s="167">
        <v>1</v>
      </c>
      <c r="C97" s="22"/>
      <c r="E97" s="228"/>
      <c r="F97" s="24"/>
      <c r="G97" s="64"/>
    </row>
    <row r="98" spans="1:7" s="75" customFormat="1" ht="18" customHeight="1" x14ac:dyDescent="0.25">
      <c r="A98" s="171">
        <v>24</v>
      </c>
      <c r="B98" s="167">
        <v>24</v>
      </c>
      <c r="C98" s="22">
        <f>C93+1</f>
        <v>31</v>
      </c>
      <c r="D98" s="30" t="s">
        <v>243</v>
      </c>
      <c r="E98" s="69">
        <v>1</v>
      </c>
      <c r="F98" s="24"/>
      <c r="G98" s="64">
        <v>2</v>
      </c>
    </row>
    <row r="99" spans="1:7" s="75" customFormat="1" ht="18" hidden="1" customHeight="1" x14ac:dyDescent="0.25">
      <c r="A99" s="171">
        <v>24</v>
      </c>
      <c r="B99" s="167">
        <v>1</v>
      </c>
      <c r="C99" s="22"/>
      <c r="E99" s="228" t="str">
        <f>'Lists-Hidden'!B38</f>
        <v>No gypsum injection system</v>
      </c>
      <c r="F99" s="24"/>
      <c r="G99" s="64"/>
    </row>
    <row r="100" spans="1:7" s="75" customFormat="1" ht="18" hidden="1" customHeight="1" x14ac:dyDescent="0.25">
      <c r="A100" s="171">
        <v>24</v>
      </c>
      <c r="B100" s="167">
        <v>1</v>
      </c>
      <c r="C100" s="22"/>
      <c r="E100" s="228" t="str">
        <f>'Lists-Hidden'!B39</f>
        <v>Downstream</v>
      </c>
      <c r="F100" s="24"/>
      <c r="G100" s="64"/>
    </row>
    <row r="101" spans="1:7" s="75" customFormat="1" ht="18" hidden="1" customHeight="1" x14ac:dyDescent="0.25">
      <c r="A101" s="171">
        <v>24</v>
      </c>
      <c r="B101" s="167">
        <v>1</v>
      </c>
      <c r="C101" s="22"/>
      <c r="E101" s="230" t="str">
        <f>'Lists-Hidden'!B40</f>
        <v>Upstream</v>
      </c>
      <c r="F101" s="24"/>
      <c r="G101" s="64"/>
    </row>
    <row r="102" spans="1:7" s="167" customFormat="1" ht="18" customHeight="1" x14ac:dyDescent="0.25">
      <c r="A102" s="171">
        <v>24</v>
      </c>
      <c r="B102" s="167">
        <v>24</v>
      </c>
      <c r="C102" s="22"/>
      <c r="D102" s="58" t="s">
        <v>469</v>
      </c>
      <c r="E102" s="232"/>
      <c r="F102" s="26"/>
      <c r="G102" s="64"/>
    </row>
    <row r="103" spans="1:7" ht="18" customHeight="1" x14ac:dyDescent="0.25">
      <c r="A103" s="171">
        <v>24</v>
      </c>
      <c r="B103" s="167">
        <v>24</v>
      </c>
      <c r="C103" s="22">
        <f>C98+1</f>
        <v>32</v>
      </c>
      <c r="D103" s="27" t="s">
        <v>254</v>
      </c>
      <c r="E103" s="70">
        <v>1</v>
      </c>
      <c r="G103" s="64">
        <v>5</v>
      </c>
    </row>
    <row r="104" spans="1:7" ht="18" hidden="1" customHeight="1" x14ac:dyDescent="0.25">
      <c r="A104" s="171">
        <v>24</v>
      </c>
      <c r="B104" s="167">
        <v>1</v>
      </c>
      <c r="E104" s="228" t="str">
        <f>'Lists-Hidden'!B44</f>
        <v>Never</v>
      </c>
    </row>
    <row r="105" spans="1:7" ht="18" hidden="1" customHeight="1" x14ac:dyDescent="0.25">
      <c r="A105" s="171">
        <v>24</v>
      </c>
      <c r="B105" s="167">
        <v>1</v>
      </c>
      <c r="E105" s="228" t="str">
        <f>'Lists-Hidden'!B45</f>
        <v>Annually</v>
      </c>
    </row>
    <row r="106" spans="1:7" ht="18" hidden="1" customHeight="1" x14ac:dyDescent="0.25">
      <c r="A106" s="171">
        <v>24</v>
      </c>
      <c r="B106" s="167">
        <v>1</v>
      </c>
      <c r="E106" s="228" t="str">
        <f>'Lists-Hidden'!B46</f>
        <v>Monthly</v>
      </c>
    </row>
    <row r="107" spans="1:7" ht="18" hidden="1" customHeight="1" x14ac:dyDescent="0.25">
      <c r="A107" s="171">
        <v>24</v>
      </c>
      <c r="B107" s="167">
        <v>1</v>
      </c>
      <c r="E107" s="230" t="str">
        <f>'Lists-Hidden'!B47</f>
        <v>Weekly or more</v>
      </c>
    </row>
    <row r="108" spans="1:7" s="75" customFormat="1" ht="18" customHeight="1" x14ac:dyDescent="0.25">
      <c r="A108" s="171">
        <v>24</v>
      </c>
      <c r="B108" s="167">
        <v>24</v>
      </c>
      <c r="C108" s="22"/>
      <c r="D108" s="58" t="s">
        <v>468</v>
      </c>
      <c r="E108" s="231"/>
      <c r="F108" s="24"/>
      <c r="G108" s="64"/>
    </row>
    <row r="109" spans="1:7" s="75" customFormat="1" ht="18" customHeight="1" x14ac:dyDescent="0.25">
      <c r="A109" s="171">
        <v>24</v>
      </c>
      <c r="B109" s="167">
        <v>24</v>
      </c>
      <c r="C109" s="22">
        <f>C103+1</f>
        <v>33</v>
      </c>
      <c r="D109" s="23" t="s">
        <v>253</v>
      </c>
      <c r="E109" s="235"/>
      <c r="F109" s="24"/>
      <c r="G109" s="64">
        <v>2</v>
      </c>
    </row>
    <row r="110" spans="1:7" s="75" customFormat="1" ht="18" hidden="1" customHeight="1" x14ac:dyDescent="0.25">
      <c r="A110" s="171">
        <v>24</v>
      </c>
      <c r="B110" s="167">
        <v>1</v>
      </c>
      <c r="C110" s="22"/>
      <c r="E110" s="228" t="str">
        <f>'Lists-Hidden'!B44</f>
        <v>Never</v>
      </c>
      <c r="F110" s="24"/>
      <c r="G110" s="64"/>
    </row>
    <row r="111" spans="1:7" s="75" customFormat="1" ht="18" hidden="1" customHeight="1" x14ac:dyDescent="0.25">
      <c r="A111" s="171">
        <v>24</v>
      </c>
      <c r="B111" s="167">
        <v>1</v>
      </c>
      <c r="C111" s="22"/>
      <c r="E111" s="228" t="str">
        <f>'Lists-Hidden'!B45</f>
        <v>Annually</v>
      </c>
      <c r="F111" s="24"/>
      <c r="G111" s="64"/>
    </row>
    <row r="112" spans="1:7" s="75" customFormat="1" ht="18" hidden="1" customHeight="1" x14ac:dyDescent="0.25">
      <c r="A112" s="171">
        <v>24</v>
      </c>
      <c r="B112" s="167">
        <v>1</v>
      </c>
      <c r="C112" s="22"/>
      <c r="E112" s="228" t="str">
        <f>'Lists-Hidden'!B46</f>
        <v>Monthly</v>
      </c>
      <c r="F112" s="24"/>
      <c r="G112" s="64"/>
    </row>
    <row r="113" spans="1:7" s="75" customFormat="1" ht="18" hidden="1" customHeight="1" x14ac:dyDescent="0.25">
      <c r="A113" s="171">
        <v>24</v>
      </c>
      <c r="B113" s="167">
        <v>1</v>
      </c>
      <c r="C113" s="22"/>
      <c r="E113" s="230" t="str">
        <f>'Lists-Hidden'!B47</f>
        <v>Weekly or more</v>
      </c>
      <c r="F113" s="24"/>
      <c r="G113" s="64"/>
    </row>
    <row r="114" spans="1:7" s="161" customFormat="1" ht="7.5" customHeight="1" x14ac:dyDescent="0.25">
      <c r="A114" s="171">
        <v>10</v>
      </c>
      <c r="B114" s="167">
        <v>10</v>
      </c>
      <c r="C114" s="22"/>
      <c r="E114" s="231"/>
      <c r="F114" s="24"/>
      <c r="G114" s="64"/>
    </row>
    <row r="115" spans="1:7" ht="19.5" customHeight="1" x14ac:dyDescent="0.25">
      <c r="A115" s="171">
        <v>26</v>
      </c>
      <c r="B115" s="167">
        <v>26</v>
      </c>
      <c r="D115" s="393" t="s">
        <v>265</v>
      </c>
      <c r="E115" s="393"/>
    </row>
    <row r="116" spans="1:7" ht="29.25" customHeight="1" x14ac:dyDescent="0.25">
      <c r="A116" s="171">
        <v>39</v>
      </c>
      <c r="B116" s="167">
        <v>39</v>
      </c>
      <c r="C116" s="22">
        <f>C109+1</f>
        <v>34</v>
      </c>
      <c r="D116" s="31" t="s">
        <v>252</v>
      </c>
      <c r="E116" s="69">
        <v>1</v>
      </c>
      <c r="G116" s="64">
        <v>3</v>
      </c>
    </row>
    <row r="117" spans="1:7" ht="18" hidden="1" customHeight="1" x14ac:dyDescent="0.25">
      <c r="A117" s="171">
        <v>24</v>
      </c>
      <c r="B117" s="167">
        <v>1</v>
      </c>
      <c r="D117" s="31"/>
      <c r="E117" s="228" t="str">
        <f>'Lists-Hidden'!D3</f>
        <v>Yes</v>
      </c>
    </row>
    <row r="118" spans="1:7" ht="18" hidden="1" customHeight="1" x14ac:dyDescent="0.25">
      <c r="A118" s="171">
        <v>24</v>
      </c>
      <c r="B118" s="167">
        <v>1</v>
      </c>
      <c r="D118" s="31"/>
      <c r="E118" s="230" t="str">
        <f>'Lists-Hidden'!D4</f>
        <v>No</v>
      </c>
    </row>
    <row r="119" spans="1:7" s="75" customFormat="1" ht="8.25" hidden="1" customHeight="1" x14ac:dyDescent="0.25">
      <c r="A119" s="171">
        <v>11</v>
      </c>
      <c r="B119" s="167">
        <v>1</v>
      </c>
      <c r="C119" s="22"/>
      <c r="E119" s="231"/>
      <c r="F119" s="24"/>
      <c r="G119" s="64"/>
    </row>
    <row r="120" spans="1:7" ht="18" customHeight="1" x14ac:dyDescent="0.25">
      <c r="A120" s="171">
        <v>24</v>
      </c>
      <c r="B120" s="167">
        <v>24</v>
      </c>
      <c r="C120" s="22">
        <f>C116+1</f>
        <v>35</v>
      </c>
      <c r="D120" s="27" t="s">
        <v>105</v>
      </c>
      <c r="E120" s="69">
        <v>1</v>
      </c>
      <c r="G120" s="64">
        <v>4</v>
      </c>
    </row>
    <row r="121" spans="1:7" ht="18" hidden="1" customHeight="1" x14ac:dyDescent="0.25">
      <c r="A121" s="171">
        <v>24</v>
      </c>
      <c r="B121" s="167">
        <v>1</v>
      </c>
      <c r="E121" s="228" t="str">
        <f>'Lists-Hidden'!B44</f>
        <v>Never</v>
      </c>
    </row>
    <row r="122" spans="1:7" ht="18" hidden="1" customHeight="1" x14ac:dyDescent="0.25">
      <c r="A122" s="171">
        <v>24</v>
      </c>
      <c r="B122" s="167">
        <v>1</v>
      </c>
      <c r="E122" s="228" t="str">
        <f>'Lists-Hidden'!B45</f>
        <v>Annually</v>
      </c>
    </row>
    <row r="123" spans="1:7" ht="18" hidden="1" customHeight="1" x14ac:dyDescent="0.25">
      <c r="A123" s="171">
        <v>24</v>
      </c>
      <c r="B123" s="167">
        <v>1</v>
      </c>
      <c r="E123" s="228" t="str">
        <f>'Lists-Hidden'!B46</f>
        <v>Monthly</v>
      </c>
    </row>
    <row r="124" spans="1:7" ht="18" hidden="1" customHeight="1" x14ac:dyDescent="0.25">
      <c r="A124" s="171">
        <v>24</v>
      </c>
      <c r="B124" s="167">
        <v>1</v>
      </c>
      <c r="E124" s="230" t="str">
        <f>'Lists-Hidden'!B47</f>
        <v>Weekly or more</v>
      </c>
    </row>
    <row r="125" spans="1:7" ht="12" customHeight="1" x14ac:dyDescent="0.25">
      <c r="A125" s="171">
        <v>16</v>
      </c>
      <c r="B125" s="167">
        <v>16</v>
      </c>
      <c r="E125" s="231"/>
    </row>
    <row r="126" spans="1:7" ht="18" customHeight="1" x14ac:dyDescent="0.25">
      <c r="A126" s="171">
        <v>24</v>
      </c>
      <c r="B126" s="167">
        <v>24</v>
      </c>
      <c r="C126" s="373" t="s">
        <v>17</v>
      </c>
      <c r="D126" s="373"/>
    </row>
    <row r="127" spans="1:7" ht="18" customHeight="1" x14ac:dyDescent="0.25">
      <c r="A127" s="171">
        <v>36</v>
      </c>
      <c r="B127" s="167">
        <v>24</v>
      </c>
      <c r="C127" s="22">
        <f>C120+1</f>
        <v>36</v>
      </c>
      <c r="D127" s="27" t="s">
        <v>139</v>
      </c>
      <c r="E127" s="162">
        <v>70</v>
      </c>
      <c r="F127" s="24" t="s">
        <v>125</v>
      </c>
    </row>
    <row r="128" spans="1:7" ht="18" customHeight="1" x14ac:dyDescent="0.25">
      <c r="A128" s="171">
        <v>36</v>
      </c>
      <c r="B128" s="167">
        <v>24</v>
      </c>
      <c r="C128" s="22">
        <f>C127+1</f>
        <v>37</v>
      </c>
      <c r="D128" s="27" t="s">
        <v>140</v>
      </c>
      <c r="E128" s="162">
        <v>70</v>
      </c>
      <c r="F128" s="24" t="s">
        <v>125</v>
      </c>
    </row>
    <row r="129" spans="1:7" ht="7.5" hidden="1" customHeight="1" x14ac:dyDescent="0.25">
      <c r="A129" s="171">
        <v>10</v>
      </c>
      <c r="B129" s="167">
        <v>1</v>
      </c>
    </row>
    <row r="130" spans="1:7" ht="18" customHeight="1" x14ac:dyDescent="0.25">
      <c r="A130" s="171">
        <v>24</v>
      </c>
      <c r="B130" s="167">
        <v>24</v>
      </c>
      <c r="D130" s="76" t="s">
        <v>18</v>
      </c>
    </row>
    <row r="131" spans="1:7" ht="18" customHeight="1" x14ac:dyDescent="0.25">
      <c r="A131" s="171">
        <v>36</v>
      </c>
      <c r="B131" s="167">
        <v>24</v>
      </c>
      <c r="C131" s="22">
        <f>C128+1</f>
        <v>38</v>
      </c>
      <c r="D131" s="23" t="s">
        <v>141</v>
      </c>
      <c r="E131" s="162">
        <v>0</v>
      </c>
      <c r="F131" s="24" t="s">
        <v>125</v>
      </c>
    </row>
    <row r="132" spans="1:7" ht="18" customHeight="1" x14ac:dyDescent="0.25">
      <c r="A132" s="171">
        <v>36</v>
      </c>
      <c r="B132" s="167">
        <v>24</v>
      </c>
      <c r="C132" s="22">
        <f>C131+1</f>
        <v>39</v>
      </c>
      <c r="D132" s="23" t="s">
        <v>142</v>
      </c>
      <c r="E132" s="162"/>
      <c r="F132" s="24" t="s">
        <v>125</v>
      </c>
    </row>
    <row r="133" spans="1:7" ht="18" customHeight="1" x14ac:dyDescent="0.25">
      <c r="A133" s="171">
        <v>36</v>
      </c>
      <c r="B133" s="167">
        <v>24</v>
      </c>
      <c r="C133" s="22">
        <f>C132+1</f>
        <v>40</v>
      </c>
      <c r="D133" s="23" t="s">
        <v>143</v>
      </c>
      <c r="E133" s="162"/>
      <c r="F133" s="24" t="s">
        <v>125</v>
      </c>
    </row>
    <row r="134" spans="1:7" ht="12" customHeight="1" x14ac:dyDescent="0.25">
      <c r="A134" s="171">
        <v>16</v>
      </c>
      <c r="B134" s="167">
        <v>16</v>
      </c>
      <c r="D134" s="23"/>
    </row>
    <row r="135" spans="1:7" ht="18" customHeight="1" x14ac:dyDescent="0.25">
      <c r="A135" s="171">
        <v>24</v>
      </c>
      <c r="B135" s="167">
        <v>24</v>
      </c>
      <c r="C135" s="373" t="s">
        <v>12</v>
      </c>
      <c r="D135" s="373"/>
    </row>
    <row r="136" spans="1:7" ht="29.25" customHeight="1" x14ac:dyDescent="0.25">
      <c r="A136" s="171">
        <v>39</v>
      </c>
      <c r="B136" s="167">
        <v>39</v>
      </c>
      <c r="C136" s="22">
        <f>C133+1</f>
        <v>41</v>
      </c>
      <c r="D136" s="27" t="s">
        <v>92</v>
      </c>
      <c r="E136" s="162">
        <v>1</v>
      </c>
    </row>
    <row r="137" spans="1:7" ht="7.5" hidden="1" customHeight="1" x14ac:dyDescent="0.25">
      <c r="A137" s="171">
        <v>10</v>
      </c>
      <c r="B137" s="167">
        <v>1</v>
      </c>
      <c r="D137" s="27"/>
    </row>
    <row r="138" spans="1:7" ht="29.25" customHeight="1" x14ac:dyDescent="0.2">
      <c r="A138" s="171">
        <v>39</v>
      </c>
      <c r="B138" s="167">
        <v>39</v>
      </c>
      <c r="C138" s="22">
        <f>C136+1</f>
        <v>42</v>
      </c>
      <c r="D138" s="27" t="s">
        <v>194</v>
      </c>
      <c r="E138" s="69">
        <v>1</v>
      </c>
      <c r="F138" s="32"/>
      <c r="G138" s="64">
        <v>3</v>
      </c>
    </row>
    <row r="139" spans="1:7" ht="18" hidden="1" customHeight="1" x14ac:dyDescent="0.2">
      <c r="A139" s="171">
        <v>24</v>
      </c>
      <c r="B139" s="167">
        <v>1</v>
      </c>
      <c r="D139" s="33"/>
      <c r="E139" s="228" t="str">
        <f>'Lists-Hidden'!D3</f>
        <v>Yes</v>
      </c>
      <c r="F139" s="32"/>
    </row>
    <row r="140" spans="1:7" ht="18" hidden="1" customHeight="1" x14ac:dyDescent="0.2">
      <c r="A140" s="171">
        <v>24</v>
      </c>
      <c r="B140" s="167">
        <v>1</v>
      </c>
      <c r="D140" s="33"/>
      <c r="E140" s="230" t="str">
        <f>'Lists-Hidden'!D4</f>
        <v>No</v>
      </c>
      <c r="F140" s="32"/>
    </row>
    <row r="141" spans="1:7" ht="18" hidden="1" customHeight="1" x14ac:dyDescent="0.2">
      <c r="A141" s="171">
        <v>24</v>
      </c>
      <c r="B141" s="167">
        <v>1</v>
      </c>
      <c r="D141" s="370" t="s">
        <v>193</v>
      </c>
      <c r="E141" s="370"/>
      <c r="F141" s="32"/>
    </row>
    <row r="142" spans="1:7" ht="7.5" hidden="1" customHeight="1" x14ac:dyDescent="0.2">
      <c r="A142" s="171">
        <v>10</v>
      </c>
      <c r="B142" s="167">
        <v>1</v>
      </c>
      <c r="D142" s="33"/>
      <c r="E142" s="236"/>
      <c r="F142" s="32"/>
    </row>
    <row r="143" spans="1:7" ht="29.25" customHeight="1" x14ac:dyDescent="0.2">
      <c r="A143" s="171">
        <v>39</v>
      </c>
      <c r="B143" s="167">
        <v>39</v>
      </c>
      <c r="C143" s="22">
        <f>C138+1</f>
        <v>43</v>
      </c>
      <c r="D143" s="27" t="s">
        <v>104</v>
      </c>
      <c r="E143" s="70">
        <v>1</v>
      </c>
      <c r="F143" s="32"/>
      <c r="G143" s="64">
        <v>3</v>
      </c>
    </row>
    <row r="144" spans="1:7" ht="18" hidden="1" customHeight="1" x14ac:dyDescent="0.2">
      <c r="A144" s="171">
        <v>24</v>
      </c>
      <c r="B144" s="167">
        <v>1</v>
      </c>
      <c r="D144" s="33"/>
      <c r="E144" s="228" t="str">
        <f>'Lists-Hidden'!D3</f>
        <v>Yes</v>
      </c>
      <c r="F144" s="32"/>
    </row>
    <row r="145" spans="1:7" ht="18" hidden="1" customHeight="1" x14ac:dyDescent="0.2">
      <c r="A145" s="171">
        <v>24</v>
      </c>
      <c r="B145" s="167">
        <v>1</v>
      </c>
      <c r="D145" s="33"/>
      <c r="E145" s="228" t="str">
        <f>'Lists-Hidden'!D4</f>
        <v>No</v>
      </c>
      <c r="F145" s="32"/>
    </row>
    <row r="146" spans="1:7" ht="7.5" hidden="1" customHeight="1" x14ac:dyDescent="0.2">
      <c r="A146" s="171">
        <v>10</v>
      </c>
      <c r="B146" s="167">
        <v>1</v>
      </c>
      <c r="D146" s="33"/>
      <c r="E146" s="232"/>
      <c r="F146" s="32"/>
    </row>
    <row r="147" spans="1:7" ht="7.5" hidden="1" customHeight="1" x14ac:dyDescent="0.2">
      <c r="A147" s="171">
        <v>10</v>
      </c>
      <c r="B147" s="167">
        <v>1</v>
      </c>
      <c r="D147" s="33"/>
      <c r="E147" s="231"/>
      <c r="F147" s="32"/>
    </row>
    <row r="148" spans="1:7" ht="29.25" customHeight="1" x14ac:dyDescent="0.2">
      <c r="A148" s="171">
        <v>39</v>
      </c>
      <c r="B148" s="167">
        <v>39</v>
      </c>
      <c r="C148" s="22">
        <f>C143+1</f>
        <v>44</v>
      </c>
      <c r="D148" s="27" t="s">
        <v>103</v>
      </c>
      <c r="E148" s="69">
        <v>1</v>
      </c>
      <c r="F148" s="32"/>
      <c r="G148" s="64">
        <v>3</v>
      </c>
    </row>
    <row r="149" spans="1:7" ht="18" hidden="1" customHeight="1" x14ac:dyDescent="0.2">
      <c r="A149" s="171">
        <v>24</v>
      </c>
      <c r="B149" s="167">
        <v>1</v>
      </c>
      <c r="D149" s="33"/>
      <c r="E149" s="228" t="str">
        <f>'Lists-Hidden'!D3</f>
        <v>Yes</v>
      </c>
      <c r="F149" s="32"/>
    </row>
    <row r="150" spans="1:7" ht="18" hidden="1" customHeight="1" x14ac:dyDescent="0.2">
      <c r="A150" s="171">
        <v>24</v>
      </c>
      <c r="B150" s="167">
        <v>1</v>
      </c>
      <c r="D150" s="33"/>
      <c r="E150" s="228" t="str">
        <f>'Lists-Hidden'!D4</f>
        <v>No</v>
      </c>
      <c r="F150" s="32"/>
    </row>
    <row r="151" spans="1:7" ht="7.5" hidden="1" customHeight="1" x14ac:dyDescent="0.2">
      <c r="A151" s="171">
        <v>10</v>
      </c>
      <c r="B151" s="167">
        <v>1</v>
      </c>
      <c r="D151" s="33"/>
      <c r="E151" s="229"/>
      <c r="F151" s="32"/>
    </row>
    <row r="152" spans="1:7" ht="18" customHeight="1" x14ac:dyDescent="0.2">
      <c r="A152" s="171">
        <v>24</v>
      </c>
      <c r="B152" s="167">
        <v>24</v>
      </c>
      <c r="C152" s="22">
        <f>C148+1</f>
        <v>45</v>
      </c>
      <c r="D152" s="27" t="s">
        <v>13</v>
      </c>
      <c r="E152" s="70">
        <v>1</v>
      </c>
      <c r="F152" s="32"/>
      <c r="G152" s="64">
        <v>2</v>
      </c>
    </row>
    <row r="153" spans="1:7" ht="18" hidden="1" customHeight="1" x14ac:dyDescent="0.2">
      <c r="A153" s="171">
        <v>24</v>
      </c>
      <c r="B153" s="167">
        <v>1</v>
      </c>
      <c r="E153" s="228" t="str">
        <f>'Lists-Hidden'!D3</f>
        <v>Yes</v>
      </c>
      <c r="F153" s="32"/>
    </row>
    <row r="154" spans="1:7" ht="18" hidden="1" customHeight="1" x14ac:dyDescent="0.2">
      <c r="A154" s="171">
        <v>24</v>
      </c>
      <c r="B154" s="167">
        <v>1</v>
      </c>
      <c r="E154" s="230" t="str">
        <f>'Lists-Hidden'!D4</f>
        <v>No</v>
      </c>
      <c r="F154" s="32"/>
    </row>
    <row r="155" spans="1:7" ht="12" customHeight="1" x14ac:dyDescent="0.25">
      <c r="A155" s="171">
        <v>16</v>
      </c>
      <c r="B155" s="167">
        <v>16</v>
      </c>
    </row>
    <row r="156" spans="1:7" s="35" customFormat="1" ht="18" customHeight="1" x14ac:dyDescent="0.25">
      <c r="A156" s="172">
        <v>24</v>
      </c>
      <c r="B156" s="168">
        <v>24</v>
      </c>
      <c r="C156" s="403" t="s">
        <v>43</v>
      </c>
      <c r="D156" s="403"/>
      <c r="E156" s="71"/>
      <c r="F156" s="34"/>
      <c r="G156" s="66"/>
    </row>
    <row r="157" spans="1:7" ht="18" customHeight="1" x14ac:dyDescent="0.25">
      <c r="A157" s="171">
        <v>24</v>
      </c>
      <c r="B157" s="167">
        <v>24</v>
      </c>
      <c r="C157" s="395" t="s">
        <v>106</v>
      </c>
      <c r="D157" s="395"/>
      <c r="E157" s="395"/>
    </row>
    <row r="158" spans="1:7" ht="12" hidden="1" customHeight="1" x14ac:dyDescent="0.25">
      <c r="A158" s="171">
        <v>16</v>
      </c>
      <c r="B158" s="167">
        <v>1</v>
      </c>
    </row>
    <row r="159" spans="1:7" ht="19.5" customHeight="1" x14ac:dyDescent="0.25">
      <c r="A159" s="171">
        <v>26</v>
      </c>
      <c r="B159" s="167">
        <v>26</v>
      </c>
      <c r="D159" s="386" t="s">
        <v>197</v>
      </c>
      <c r="E159" s="386"/>
    </row>
    <row r="160" spans="1:7" ht="19.5" customHeight="1" x14ac:dyDescent="0.25">
      <c r="A160" s="171">
        <v>29</v>
      </c>
      <c r="B160" s="167">
        <v>26</v>
      </c>
      <c r="D160" s="383" t="s">
        <v>95</v>
      </c>
      <c r="E160" s="383"/>
    </row>
    <row r="161" spans="1:6" ht="19.5" customHeight="1" x14ac:dyDescent="0.25">
      <c r="A161" s="171">
        <v>36</v>
      </c>
      <c r="B161" s="167">
        <v>26</v>
      </c>
      <c r="C161" s="22">
        <f>C152+1</f>
        <v>46</v>
      </c>
      <c r="D161" s="23" t="s">
        <v>255</v>
      </c>
      <c r="E161" s="162">
        <v>55</v>
      </c>
      <c r="F161" s="24" t="s">
        <v>125</v>
      </c>
    </row>
    <row r="162" spans="1:6" ht="19.5" customHeight="1" x14ac:dyDescent="0.25">
      <c r="A162" s="171">
        <v>36</v>
      </c>
      <c r="B162" s="167">
        <v>26</v>
      </c>
      <c r="C162" s="22">
        <f>C161+1</f>
        <v>47</v>
      </c>
      <c r="D162" s="23" t="s">
        <v>256</v>
      </c>
      <c r="E162" s="163"/>
      <c r="F162" s="24" t="s">
        <v>125</v>
      </c>
    </row>
    <row r="163" spans="1:6" ht="19.5" customHeight="1" x14ac:dyDescent="0.25">
      <c r="A163" s="171">
        <v>36</v>
      </c>
      <c r="B163" s="167">
        <v>26</v>
      </c>
      <c r="C163" s="22">
        <f>C162+1</f>
        <v>48</v>
      </c>
      <c r="D163" s="23" t="s">
        <v>150</v>
      </c>
      <c r="E163" s="163"/>
      <c r="F163" s="24" t="s">
        <v>125</v>
      </c>
    </row>
    <row r="164" spans="1:6" ht="19.5" customHeight="1" x14ac:dyDescent="0.25">
      <c r="A164" s="171">
        <v>36</v>
      </c>
      <c r="B164" s="167">
        <v>26</v>
      </c>
      <c r="C164" s="22">
        <f>C163+1</f>
        <v>49</v>
      </c>
      <c r="D164" s="23" t="s">
        <v>257</v>
      </c>
      <c r="E164" s="163">
        <v>54</v>
      </c>
      <c r="F164" s="24" t="s">
        <v>125</v>
      </c>
    </row>
    <row r="165" spans="1:6" ht="19.5" customHeight="1" x14ac:dyDescent="0.25">
      <c r="A165" s="171">
        <v>36</v>
      </c>
      <c r="B165" s="167">
        <v>26</v>
      </c>
      <c r="C165" s="22">
        <f>C164+1</f>
        <v>50</v>
      </c>
      <c r="D165" s="23" t="s">
        <v>258</v>
      </c>
      <c r="E165" s="162">
        <v>62</v>
      </c>
      <c r="F165" s="24" t="s">
        <v>125</v>
      </c>
    </row>
    <row r="166" spans="1:6" ht="19.5" customHeight="1" x14ac:dyDescent="0.25">
      <c r="A166" s="171">
        <v>29</v>
      </c>
      <c r="B166" s="167">
        <v>26</v>
      </c>
      <c r="D166" s="383" t="s">
        <v>96</v>
      </c>
      <c r="E166" s="383"/>
    </row>
    <row r="167" spans="1:6" ht="19.5" customHeight="1" x14ac:dyDescent="0.25">
      <c r="A167" s="171">
        <v>36</v>
      </c>
      <c r="B167" s="167">
        <v>26</v>
      </c>
      <c r="C167" s="22">
        <f>C165+1</f>
        <v>51</v>
      </c>
      <c r="D167" s="23" t="s">
        <v>255</v>
      </c>
      <c r="E167" s="162">
        <v>36</v>
      </c>
      <c r="F167" s="24" t="s">
        <v>125</v>
      </c>
    </row>
    <row r="168" spans="1:6" ht="19.5" customHeight="1" x14ac:dyDescent="0.25">
      <c r="A168" s="171">
        <v>36</v>
      </c>
      <c r="B168" s="167">
        <v>26</v>
      </c>
      <c r="C168" s="22">
        <f>C167+1</f>
        <v>52</v>
      </c>
      <c r="D168" s="23" t="s">
        <v>259</v>
      </c>
      <c r="E168" s="163"/>
      <c r="F168" s="24" t="s">
        <v>125</v>
      </c>
    </row>
    <row r="169" spans="1:6" ht="19.5" customHeight="1" x14ac:dyDescent="0.25">
      <c r="A169" s="171">
        <v>36</v>
      </c>
      <c r="B169" s="167">
        <v>26</v>
      </c>
      <c r="C169" s="22">
        <f>C168+1</f>
        <v>53</v>
      </c>
      <c r="D169" s="23" t="s">
        <v>150</v>
      </c>
      <c r="E169" s="163"/>
      <c r="F169" s="24" t="s">
        <v>125</v>
      </c>
    </row>
    <row r="170" spans="1:6" ht="19.5" customHeight="1" x14ac:dyDescent="0.25">
      <c r="A170" s="171">
        <v>36</v>
      </c>
      <c r="B170" s="167">
        <v>26</v>
      </c>
      <c r="C170" s="22">
        <f>C169+1</f>
        <v>54</v>
      </c>
      <c r="D170" s="23" t="s">
        <v>257</v>
      </c>
      <c r="E170" s="163">
        <v>38</v>
      </c>
      <c r="F170" s="24" t="s">
        <v>125</v>
      </c>
    </row>
    <row r="171" spans="1:6" ht="19.5" customHeight="1" x14ac:dyDescent="0.25">
      <c r="A171" s="171">
        <v>36</v>
      </c>
      <c r="B171" s="167">
        <v>26</v>
      </c>
      <c r="C171" s="22">
        <f>C170+1</f>
        <v>55</v>
      </c>
      <c r="D171" s="23" t="s">
        <v>258</v>
      </c>
      <c r="E171" s="163">
        <v>42</v>
      </c>
      <c r="F171" s="24" t="s">
        <v>125</v>
      </c>
    </row>
    <row r="172" spans="1:6" ht="18" customHeight="1" x14ac:dyDescent="0.25">
      <c r="A172" s="171">
        <v>24</v>
      </c>
      <c r="B172" s="167">
        <v>24</v>
      </c>
    </row>
    <row r="173" spans="1:6" ht="19.5" customHeight="1" x14ac:dyDescent="0.2">
      <c r="A173" s="171">
        <v>26</v>
      </c>
      <c r="B173" s="167">
        <v>26</v>
      </c>
      <c r="D173" s="386" t="s">
        <v>198</v>
      </c>
      <c r="E173" s="386"/>
      <c r="F173" s="386"/>
    </row>
    <row r="174" spans="1:6" ht="19.5" customHeight="1" x14ac:dyDescent="0.25">
      <c r="A174" s="171">
        <v>29</v>
      </c>
      <c r="B174" s="167">
        <v>26</v>
      </c>
      <c r="D174" s="383" t="s">
        <v>95</v>
      </c>
      <c r="E174" s="383"/>
    </row>
    <row r="175" spans="1:6" ht="19.5" customHeight="1" x14ac:dyDescent="0.25">
      <c r="A175" s="171">
        <v>36</v>
      </c>
      <c r="B175" s="167">
        <v>26</v>
      </c>
      <c r="C175" s="22">
        <f>C171+1</f>
        <v>56</v>
      </c>
      <c r="D175" s="23" t="s">
        <v>255</v>
      </c>
      <c r="E175" s="162">
        <v>66</v>
      </c>
      <c r="F175" s="24" t="s">
        <v>125</v>
      </c>
    </row>
    <row r="176" spans="1:6" ht="19.5" customHeight="1" x14ac:dyDescent="0.25">
      <c r="A176" s="171">
        <v>36</v>
      </c>
      <c r="B176" s="167">
        <v>26</v>
      </c>
      <c r="C176" s="22">
        <f>C175+1</f>
        <v>57</v>
      </c>
      <c r="D176" s="23" t="s">
        <v>256</v>
      </c>
      <c r="E176" s="163"/>
      <c r="F176" s="24" t="s">
        <v>125</v>
      </c>
    </row>
    <row r="177" spans="1:6" ht="19.5" customHeight="1" x14ac:dyDescent="0.25">
      <c r="A177" s="171">
        <v>36</v>
      </c>
      <c r="B177" s="167">
        <v>26</v>
      </c>
      <c r="C177" s="22">
        <f>C176+1</f>
        <v>58</v>
      </c>
      <c r="D177" s="23" t="s">
        <v>150</v>
      </c>
      <c r="E177" s="163"/>
      <c r="F177" s="24" t="s">
        <v>125</v>
      </c>
    </row>
    <row r="178" spans="1:6" ht="19.5" customHeight="1" x14ac:dyDescent="0.25">
      <c r="A178" s="171">
        <v>36</v>
      </c>
      <c r="B178" s="167">
        <v>26</v>
      </c>
      <c r="C178" s="22">
        <f>C177+1</f>
        <v>59</v>
      </c>
      <c r="D178" s="23" t="s">
        <v>257</v>
      </c>
      <c r="E178" s="163">
        <v>58</v>
      </c>
      <c r="F178" s="24" t="s">
        <v>125</v>
      </c>
    </row>
    <row r="179" spans="1:6" ht="19.5" customHeight="1" x14ac:dyDescent="0.25">
      <c r="A179" s="171">
        <v>36</v>
      </c>
      <c r="B179" s="167">
        <v>26</v>
      </c>
      <c r="C179" s="22">
        <f>C178+1</f>
        <v>60</v>
      </c>
      <c r="D179" s="23" t="s">
        <v>258</v>
      </c>
      <c r="E179" s="162">
        <v>53</v>
      </c>
      <c r="F179" s="24" t="s">
        <v>125</v>
      </c>
    </row>
    <row r="180" spans="1:6" ht="19.5" customHeight="1" x14ac:dyDescent="0.25">
      <c r="A180" s="171">
        <v>29</v>
      </c>
      <c r="B180" s="167">
        <v>26</v>
      </c>
      <c r="D180" s="383" t="s">
        <v>96</v>
      </c>
      <c r="E180" s="383"/>
    </row>
    <row r="181" spans="1:6" ht="19.5" customHeight="1" x14ac:dyDescent="0.25">
      <c r="A181" s="171">
        <v>36</v>
      </c>
      <c r="B181" s="171">
        <v>26</v>
      </c>
      <c r="C181" s="22">
        <f>C179+1</f>
        <v>61</v>
      </c>
      <c r="D181" s="23" t="s">
        <v>255</v>
      </c>
      <c r="E181" s="162">
        <v>66</v>
      </c>
      <c r="F181" s="24" t="s">
        <v>125</v>
      </c>
    </row>
    <row r="182" spans="1:6" ht="19.5" customHeight="1" x14ac:dyDescent="0.25">
      <c r="A182" s="171">
        <v>36</v>
      </c>
      <c r="B182" s="171">
        <v>26</v>
      </c>
      <c r="C182" s="22">
        <f>C181+1</f>
        <v>62</v>
      </c>
      <c r="D182" s="23" t="s">
        <v>259</v>
      </c>
      <c r="E182" s="163"/>
      <c r="F182" s="24" t="s">
        <v>125</v>
      </c>
    </row>
    <row r="183" spans="1:6" ht="19.5" customHeight="1" x14ac:dyDescent="0.25">
      <c r="A183" s="171">
        <v>36</v>
      </c>
      <c r="B183" s="171">
        <v>26</v>
      </c>
      <c r="C183" s="22">
        <f>C182+1</f>
        <v>63</v>
      </c>
      <c r="D183" s="23" t="s">
        <v>150</v>
      </c>
      <c r="E183" s="163"/>
      <c r="F183" s="24" t="s">
        <v>125</v>
      </c>
    </row>
    <row r="184" spans="1:6" ht="19.5" customHeight="1" x14ac:dyDescent="0.25">
      <c r="A184" s="171">
        <v>36</v>
      </c>
      <c r="B184" s="171">
        <v>26</v>
      </c>
      <c r="C184" s="22">
        <f>C183+1</f>
        <v>64</v>
      </c>
      <c r="D184" s="23" t="s">
        <v>257</v>
      </c>
      <c r="E184" s="163">
        <v>56</v>
      </c>
      <c r="F184" s="24" t="s">
        <v>125</v>
      </c>
    </row>
    <row r="185" spans="1:6" ht="19.5" customHeight="1" x14ac:dyDescent="0.25">
      <c r="A185" s="171">
        <v>36</v>
      </c>
      <c r="B185" s="171">
        <v>26</v>
      </c>
      <c r="C185" s="22">
        <f>C184+1</f>
        <v>65</v>
      </c>
      <c r="D185" s="23" t="s">
        <v>258</v>
      </c>
      <c r="E185" s="163">
        <v>49</v>
      </c>
      <c r="F185" s="24" t="s">
        <v>125</v>
      </c>
    </row>
    <row r="186" spans="1:6" ht="19.5" customHeight="1" x14ac:dyDescent="0.25">
      <c r="A186" s="171">
        <v>24</v>
      </c>
      <c r="B186" s="171">
        <v>26</v>
      </c>
    </row>
    <row r="187" spans="1:6" ht="19.5" customHeight="1" x14ac:dyDescent="0.25">
      <c r="A187" s="171">
        <v>26</v>
      </c>
      <c r="B187" s="171">
        <v>26</v>
      </c>
      <c r="D187" s="387" t="s">
        <v>199</v>
      </c>
      <c r="E187" s="387"/>
    </row>
    <row r="188" spans="1:6" ht="19.5" customHeight="1" x14ac:dyDescent="0.25">
      <c r="A188" s="171">
        <v>29</v>
      </c>
      <c r="B188" s="171">
        <v>26</v>
      </c>
      <c r="C188" s="36"/>
      <c r="D188" s="383" t="s">
        <v>95</v>
      </c>
      <c r="E188" s="383"/>
    </row>
    <row r="189" spans="1:6" ht="19.5" customHeight="1" x14ac:dyDescent="0.25">
      <c r="A189" s="171">
        <v>36</v>
      </c>
      <c r="B189" s="171">
        <v>26</v>
      </c>
      <c r="C189" s="22">
        <f>C185+1</f>
        <v>66</v>
      </c>
      <c r="D189" s="23" t="s">
        <v>255</v>
      </c>
      <c r="E189" s="162">
        <v>46</v>
      </c>
      <c r="F189" s="24" t="s">
        <v>125</v>
      </c>
    </row>
    <row r="190" spans="1:6" ht="19.5" customHeight="1" x14ac:dyDescent="0.25">
      <c r="A190" s="171">
        <v>36</v>
      </c>
      <c r="B190" s="171">
        <v>26</v>
      </c>
      <c r="C190" s="22">
        <f>C189+1</f>
        <v>67</v>
      </c>
      <c r="D190" s="23" t="s">
        <v>256</v>
      </c>
      <c r="E190" s="163"/>
      <c r="F190" s="24" t="s">
        <v>125</v>
      </c>
    </row>
    <row r="191" spans="1:6" ht="19.5" customHeight="1" x14ac:dyDescent="0.25">
      <c r="A191" s="171">
        <v>36</v>
      </c>
      <c r="B191" s="171">
        <v>26</v>
      </c>
      <c r="C191" s="22">
        <f>C190+1</f>
        <v>68</v>
      </c>
      <c r="D191" s="23" t="s">
        <v>150</v>
      </c>
      <c r="E191" s="163"/>
      <c r="F191" s="24" t="s">
        <v>125</v>
      </c>
    </row>
    <row r="192" spans="1:6" ht="19.5" customHeight="1" x14ac:dyDescent="0.25">
      <c r="A192" s="171">
        <v>36</v>
      </c>
      <c r="B192" s="171">
        <v>26</v>
      </c>
      <c r="C192" s="22">
        <f>C191+1</f>
        <v>69</v>
      </c>
      <c r="D192" s="23" t="s">
        <v>257</v>
      </c>
      <c r="E192" s="163">
        <v>49</v>
      </c>
      <c r="F192" s="24" t="s">
        <v>125</v>
      </c>
    </row>
    <row r="193" spans="1:6" ht="19.5" customHeight="1" x14ac:dyDescent="0.25">
      <c r="A193" s="171">
        <v>36</v>
      </c>
      <c r="B193" s="171">
        <v>26</v>
      </c>
      <c r="C193" s="22">
        <f>C192+1</f>
        <v>70</v>
      </c>
      <c r="D193" s="23" t="s">
        <v>258</v>
      </c>
      <c r="E193" s="162">
        <v>53</v>
      </c>
      <c r="F193" s="24" t="s">
        <v>125</v>
      </c>
    </row>
    <row r="194" spans="1:6" ht="19.5" customHeight="1" x14ac:dyDescent="0.25">
      <c r="A194" s="171">
        <v>29</v>
      </c>
      <c r="B194" s="171">
        <v>26</v>
      </c>
      <c r="D194" s="383" t="s">
        <v>96</v>
      </c>
      <c r="E194" s="383"/>
    </row>
    <row r="195" spans="1:6" ht="19.5" customHeight="1" x14ac:dyDescent="0.25">
      <c r="A195" s="171">
        <v>36</v>
      </c>
      <c r="B195" s="171">
        <v>26</v>
      </c>
      <c r="C195" s="22">
        <f>C193+1</f>
        <v>71</v>
      </c>
      <c r="D195" s="23" t="s">
        <v>255</v>
      </c>
      <c r="E195" s="162">
        <v>27</v>
      </c>
      <c r="F195" s="24" t="s">
        <v>125</v>
      </c>
    </row>
    <row r="196" spans="1:6" ht="19.5" customHeight="1" x14ac:dyDescent="0.25">
      <c r="A196" s="171">
        <v>36</v>
      </c>
      <c r="B196" s="171">
        <v>26</v>
      </c>
      <c r="C196" s="22">
        <f>C195+1</f>
        <v>72</v>
      </c>
      <c r="D196" s="23" t="s">
        <v>259</v>
      </c>
      <c r="E196" s="163"/>
      <c r="F196" s="24" t="s">
        <v>125</v>
      </c>
    </row>
    <row r="197" spans="1:6" ht="19.5" customHeight="1" x14ac:dyDescent="0.25">
      <c r="A197" s="171">
        <v>36</v>
      </c>
      <c r="B197" s="171">
        <v>26</v>
      </c>
      <c r="C197" s="22">
        <f>C196+1</f>
        <v>73</v>
      </c>
      <c r="D197" s="23" t="s">
        <v>150</v>
      </c>
      <c r="E197" s="163"/>
      <c r="F197" s="24" t="s">
        <v>125</v>
      </c>
    </row>
    <row r="198" spans="1:6" ht="19.5" customHeight="1" x14ac:dyDescent="0.25">
      <c r="A198" s="171">
        <v>36</v>
      </c>
      <c r="B198" s="171">
        <v>26</v>
      </c>
      <c r="C198" s="22">
        <f>C197+1</f>
        <v>74</v>
      </c>
      <c r="D198" s="23" t="s">
        <v>257</v>
      </c>
      <c r="E198" s="163">
        <v>28</v>
      </c>
      <c r="F198" s="24" t="s">
        <v>125</v>
      </c>
    </row>
    <row r="199" spans="1:6" ht="19.5" customHeight="1" x14ac:dyDescent="0.25">
      <c r="A199" s="171">
        <v>36</v>
      </c>
      <c r="B199" s="171">
        <v>26</v>
      </c>
      <c r="C199" s="22">
        <f>C198+1</f>
        <v>75</v>
      </c>
      <c r="D199" s="23" t="s">
        <v>258</v>
      </c>
      <c r="E199" s="163">
        <v>15</v>
      </c>
      <c r="F199" s="24" t="s">
        <v>125</v>
      </c>
    </row>
    <row r="200" spans="1:6" ht="19.5" customHeight="1" x14ac:dyDescent="0.25">
      <c r="A200" s="171">
        <v>24</v>
      </c>
      <c r="B200" s="171">
        <v>26</v>
      </c>
    </row>
    <row r="201" spans="1:6" ht="19.5" customHeight="1" x14ac:dyDescent="0.25">
      <c r="A201" s="171">
        <v>26</v>
      </c>
      <c r="B201" s="171">
        <v>26</v>
      </c>
      <c r="D201" s="387" t="s">
        <v>200</v>
      </c>
      <c r="E201" s="387"/>
    </row>
    <row r="202" spans="1:6" ht="19.5" customHeight="1" x14ac:dyDescent="0.25">
      <c r="A202" s="171">
        <v>29</v>
      </c>
      <c r="B202" s="171">
        <v>26</v>
      </c>
      <c r="D202" s="383" t="s">
        <v>95</v>
      </c>
      <c r="E202" s="383"/>
    </row>
    <row r="203" spans="1:6" ht="19.5" customHeight="1" x14ac:dyDescent="0.25">
      <c r="A203" s="171">
        <v>36</v>
      </c>
      <c r="B203" s="171">
        <v>26</v>
      </c>
      <c r="C203" s="22">
        <f>C199+1</f>
        <v>76</v>
      </c>
      <c r="D203" s="23" t="s">
        <v>255</v>
      </c>
      <c r="E203" s="162">
        <v>31</v>
      </c>
      <c r="F203" s="24" t="s">
        <v>125</v>
      </c>
    </row>
    <row r="204" spans="1:6" ht="19.5" customHeight="1" x14ac:dyDescent="0.25">
      <c r="A204" s="171">
        <v>36</v>
      </c>
      <c r="B204" s="171">
        <v>26</v>
      </c>
      <c r="C204" s="22">
        <f>C203+1</f>
        <v>77</v>
      </c>
      <c r="D204" s="23" t="s">
        <v>256</v>
      </c>
      <c r="E204" s="163"/>
      <c r="F204" s="24" t="s">
        <v>125</v>
      </c>
    </row>
    <row r="205" spans="1:6" ht="19.5" customHeight="1" x14ac:dyDescent="0.25">
      <c r="A205" s="171">
        <v>36</v>
      </c>
      <c r="B205" s="171">
        <v>26</v>
      </c>
      <c r="C205" s="22">
        <f>C204+1</f>
        <v>78</v>
      </c>
      <c r="D205" s="23" t="s">
        <v>150</v>
      </c>
      <c r="E205" s="163"/>
      <c r="F205" s="24" t="s">
        <v>125</v>
      </c>
    </row>
    <row r="206" spans="1:6" ht="19.5" customHeight="1" x14ac:dyDescent="0.25">
      <c r="A206" s="171">
        <v>36</v>
      </c>
      <c r="B206" s="171">
        <v>26</v>
      </c>
      <c r="C206" s="22">
        <f>C205+1</f>
        <v>79</v>
      </c>
      <c r="D206" s="23" t="s">
        <v>257</v>
      </c>
      <c r="E206" s="163">
        <v>37</v>
      </c>
      <c r="F206" s="24" t="s">
        <v>125</v>
      </c>
    </row>
    <row r="207" spans="1:6" ht="19.5" customHeight="1" x14ac:dyDescent="0.25">
      <c r="A207" s="171">
        <v>36</v>
      </c>
      <c r="B207" s="171">
        <v>26</v>
      </c>
      <c r="C207" s="22">
        <f>C206+1</f>
        <v>80</v>
      </c>
      <c r="D207" s="23" t="s">
        <v>258</v>
      </c>
      <c r="E207" s="162">
        <v>20</v>
      </c>
      <c r="F207" s="24" t="s">
        <v>125</v>
      </c>
    </row>
    <row r="208" spans="1:6" ht="19.5" customHeight="1" x14ac:dyDescent="0.25">
      <c r="A208" s="171">
        <v>29</v>
      </c>
      <c r="B208" s="171">
        <v>26</v>
      </c>
      <c r="D208" s="383" t="s">
        <v>96</v>
      </c>
      <c r="E208" s="383"/>
    </row>
    <row r="209" spans="1:6" ht="19.5" customHeight="1" x14ac:dyDescent="0.25">
      <c r="A209" s="171">
        <v>36</v>
      </c>
      <c r="B209" s="171">
        <v>26</v>
      </c>
      <c r="C209" s="22">
        <f>C207+1</f>
        <v>81</v>
      </c>
      <c r="D209" s="23" t="s">
        <v>255</v>
      </c>
      <c r="E209" s="162">
        <v>55</v>
      </c>
      <c r="F209" s="24" t="s">
        <v>125</v>
      </c>
    </row>
    <row r="210" spans="1:6" ht="19.5" customHeight="1" x14ac:dyDescent="0.25">
      <c r="A210" s="171">
        <v>36</v>
      </c>
      <c r="B210" s="171">
        <v>26</v>
      </c>
      <c r="C210" s="22">
        <f>C209+1</f>
        <v>82</v>
      </c>
      <c r="D210" s="23" t="s">
        <v>259</v>
      </c>
      <c r="E210" s="163"/>
      <c r="F210" s="24" t="s">
        <v>125</v>
      </c>
    </row>
    <row r="211" spans="1:6" ht="19.5" customHeight="1" x14ac:dyDescent="0.25">
      <c r="A211" s="171">
        <v>36</v>
      </c>
      <c r="B211" s="171">
        <v>26</v>
      </c>
      <c r="C211" s="22">
        <f>C210+1</f>
        <v>83</v>
      </c>
      <c r="D211" s="23" t="s">
        <v>150</v>
      </c>
      <c r="E211" s="163"/>
      <c r="F211" s="24" t="s">
        <v>125</v>
      </c>
    </row>
    <row r="212" spans="1:6" ht="19.5" customHeight="1" x14ac:dyDescent="0.25">
      <c r="A212" s="171">
        <v>36</v>
      </c>
      <c r="B212" s="171">
        <v>26</v>
      </c>
      <c r="C212" s="22">
        <f>C211+1</f>
        <v>84</v>
      </c>
      <c r="D212" s="23" t="s">
        <v>257</v>
      </c>
      <c r="E212" s="163">
        <v>48</v>
      </c>
      <c r="F212" s="24" t="s">
        <v>125</v>
      </c>
    </row>
    <row r="213" spans="1:6" ht="19.5" customHeight="1" x14ac:dyDescent="0.25">
      <c r="A213" s="171">
        <v>36</v>
      </c>
      <c r="B213" s="171">
        <v>26</v>
      </c>
      <c r="C213" s="22">
        <f>C212+1</f>
        <v>85</v>
      </c>
      <c r="D213" s="23" t="s">
        <v>258</v>
      </c>
      <c r="E213" s="163">
        <v>42</v>
      </c>
      <c r="F213" s="24" t="s">
        <v>125</v>
      </c>
    </row>
    <row r="214" spans="1:6" ht="19.5" customHeight="1" x14ac:dyDescent="0.25">
      <c r="A214" s="171">
        <v>24</v>
      </c>
      <c r="B214" s="171">
        <v>26</v>
      </c>
    </row>
    <row r="215" spans="1:6" ht="19.5" customHeight="1" x14ac:dyDescent="0.25">
      <c r="A215" s="171">
        <v>26</v>
      </c>
      <c r="B215" s="171">
        <v>26</v>
      </c>
      <c r="D215" s="387" t="s">
        <v>201</v>
      </c>
      <c r="E215" s="387"/>
    </row>
    <row r="216" spans="1:6" ht="19.5" customHeight="1" x14ac:dyDescent="0.25">
      <c r="A216" s="171">
        <v>29</v>
      </c>
      <c r="B216" s="171">
        <v>26</v>
      </c>
      <c r="D216" s="383" t="s">
        <v>95</v>
      </c>
      <c r="E216" s="383"/>
    </row>
    <row r="217" spans="1:6" ht="19.5" customHeight="1" x14ac:dyDescent="0.25">
      <c r="A217" s="171">
        <v>36</v>
      </c>
      <c r="B217" s="171">
        <v>26</v>
      </c>
      <c r="C217" s="22">
        <f>C213+1</f>
        <v>86</v>
      </c>
      <c r="D217" s="23" t="s">
        <v>255</v>
      </c>
      <c r="E217" s="162">
        <v>62</v>
      </c>
      <c r="F217" s="24" t="s">
        <v>125</v>
      </c>
    </row>
    <row r="218" spans="1:6" ht="19.5" customHeight="1" x14ac:dyDescent="0.25">
      <c r="A218" s="171">
        <v>36</v>
      </c>
      <c r="B218" s="171">
        <v>26</v>
      </c>
      <c r="C218" s="22">
        <f>C217+1</f>
        <v>87</v>
      </c>
      <c r="D218" s="23" t="s">
        <v>256</v>
      </c>
      <c r="E218" s="163"/>
      <c r="F218" s="24" t="s">
        <v>125</v>
      </c>
    </row>
    <row r="219" spans="1:6" ht="19.5" customHeight="1" x14ac:dyDescent="0.25">
      <c r="A219" s="171">
        <v>36</v>
      </c>
      <c r="B219" s="171">
        <v>26</v>
      </c>
      <c r="C219" s="22">
        <f>C218+1</f>
        <v>88</v>
      </c>
      <c r="D219" s="23" t="s">
        <v>150</v>
      </c>
      <c r="E219" s="163"/>
      <c r="F219" s="24" t="s">
        <v>125</v>
      </c>
    </row>
    <row r="220" spans="1:6" ht="19.5" customHeight="1" x14ac:dyDescent="0.25">
      <c r="A220" s="171">
        <v>36</v>
      </c>
      <c r="B220" s="171">
        <v>26</v>
      </c>
      <c r="C220" s="22">
        <f>C219+1</f>
        <v>89</v>
      </c>
      <c r="D220" s="23" t="s">
        <v>257</v>
      </c>
      <c r="E220" s="163">
        <v>54</v>
      </c>
      <c r="F220" s="24" t="s">
        <v>125</v>
      </c>
    </row>
    <row r="221" spans="1:6" ht="19.5" customHeight="1" x14ac:dyDescent="0.25">
      <c r="A221" s="171">
        <v>36</v>
      </c>
      <c r="B221" s="171">
        <v>26</v>
      </c>
      <c r="C221" s="22">
        <f>C220+1</f>
        <v>90</v>
      </c>
      <c r="D221" s="23" t="s">
        <v>258</v>
      </c>
      <c r="E221" s="162">
        <v>52</v>
      </c>
      <c r="F221" s="24" t="s">
        <v>125</v>
      </c>
    </row>
    <row r="222" spans="1:6" ht="19.5" customHeight="1" x14ac:dyDescent="0.25">
      <c r="A222" s="171">
        <v>29</v>
      </c>
      <c r="B222" s="171">
        <v>26</v>
      </c>
      <c r="D222" s="383" t="s">
        <v>96</v>
      </c>
      <c r="E222" s="383"/>
    </row>
    <row r="223" spans="1:6" ht="19.5" customHeight="1" x14ac:dyDescent="0.25">
      <c r="A223" s="171">
        <v>36</v>
      </c>
      <c r="B223" s="171">
        <v>26</v>
      </c>
      <c r="C223" s="22">
        <f>C221+1</f>
        <v>91</v>
      </c>
      <c r="D223" s="23" t="s">
        <v>255</v>
      </c>
      <c r="E223" s="162">
        <v>75</v>
      </c>
      <c r="F223" s="24" t="s">
        <v>125</v>
      </c>
    </row>
    <row r="224" spans="1:6" ht="19.5" customHeight="1" x14ac:dyDescent="0.25">
      <c r="A224" s="171">
        <v>36</v>
      </c>
      <c r="B224" s="171">
        <v>26</v>
      </c>
      <c r="C224" s="22">
        <f>C223+1</f>
        <v>92</v>
      </c>
      <c r="D224" s="23" t="s">
        <v>259</v>
      </c>
      <c r="E224" s="163"/>
      <c r="F224" s="24" t="s">
        <v>125</v>
      </c>
    </row>
    <row r="225" spans="1:6" ht="19.5" customHeight="1" x14ac:dyDescent="0.25">
      <c r="A225" s="171">
        <v>36</v>
      </c>
      <c r="B225" s="171">
        <v>26</v>
      </c>
      <c r="C225" s="22">
        <f>C224+1</f>
        <v>93</v>
      </c>
      <c r="D225" s="23" t="s">
        <v>150</v>
      </c>
      <c r="E225" s="163"/>
      <c r="F225" s="24" t="s">
        <v>125</v>
      </c>
    </row>
    <row r="226" spans="1:6" ht="19.5" customHeight="1" x14ac:dyDescent="0.25">
      <c r="A226" s="171">
        <v>36</v>
      </c>
      <c r="B226" s="171">
        <v>26</v>
      </c>
      <c r="C226" s="22">
        <f>C225+1</f>
        <v>94</v>
      </c>
      <c r="D226" s="23" t="s">
        <v>257</v>
      </c>
      <c r="E226" s="163">
        <v>65</v>
      </c>
      <c r="F226" s="24" t="s">
        <v>125</v>
      </c>
    </row>
    <row r="227" spans="1:6" ht="19.5" customHeight="1" x14ac:dyDescent="0.25">
      <c r="A227" s="171">
        <v>36</v>
      </c>
      <c r="B227" s="171">
        <v>26</v>
      </c>
      <c r="C227" s="22">
        <f>C226+1</f>
        <v>95</v>
      </c>
      <c r="D227" s="23" t="s">
        <v>258</v>
      </c>
      <c r="E227" s="163">
        <v>62</v>
      </c>
      <c r="F227" s="24" t="s">
        <v>125</v>
      </c>
    </row>
    <row r="228" spans="1:6" ht="19.5" customHeight="1" x14ac:dyDescent="0.25">
      <c r="A228" s="171">
        <v>24</v>
      </c>
      <c r="B228" s="171">
        <v>26</v>
      </c>
    </row>
    <row r="229" spans="1:6" ht="19.5" customHeight="1" x14ac:dyDescent="0.25">
      <c r="A229" s="171">
        <v>26</v>
      </c>
      <c r="B229" s="171">
        <v>26</v>
      </c>
      <c r="D229" s="387" t="s">
        <v>202</v>
      </c>
      <c r="E229" s="387"/>
    </row>
    <row r="230" spans="1:6" ht="19.5" customHeight="1" x14ac:dyDescent="0.25">
      <c r="A230" s="171">
        <v>29</v>
      </c>
      <c r="B230" s="171">
        <v>26</v>
      </c>
      <c r="D230" s="383" t="s">
        <v>95</v>
      </c>
      <c r="E230" s="383"/>
    </row>
    <row r="231" spans="1:6" ht="19.5" customHeight="1" x14ac:dyDescent="0.25">
      <c r="A231" s="171">
        <v>36</v>
      </c>
      <c r="B231" s="171">
        <v>26</v>
      </c>
      <c r="C231" s="22">
        <f>C227+1</f>
        <v>96</v>
      </c>
      <c r="D231" s="23" t="s">
        <v>255</v>
      </c>
      <c r="E231" s="162">
        <v>68</v>
      </c>
      <c r="F231" s="24" t="s">
        <v>125</v>
      </c>
    </row>
    <row r="232" spans="1:6" ht="19.5" customHeight="1" x14ac:dyDescent="0.25">
      <c r="A232" s="171">
        <v>36</v>
      </c>
      <c r="B232" s="171">
        <v>26</v>
      </c>
      <c r="C232" s="22">
        <f>C231+1</f>
        <v>97</v>
      </c>
      <c r="D232" s="23" t="s">
        <v>256</v>
      </c>
      <c r="E232" s="163"/>
      <c r="F232" s="24" t="s">
        <v>125</v>
      </c>
    </row>
    <row r="233" spans="1:6" ht="19.5" customHeight="1" x14ac:dyDescent="0.25">
      <c r="A233" s="171">
        <v>36</v>
      </c>
      <c r="B233" s="171">
        <v>26</v>
      </c>
      <c r="C233" s="22">
        <f>C232+1</f>
        <v>98</v>
      </c>
      <c r="D233" s="23" t="s">
        <v>150</v>
      </c>
      <c r="E233" s="163"/>
      <c r="F233" s="24" t="s">
        <v>125</v>
      </c>
    </row>
    <row r="234" spans="1:6" ht="19.5" customHeight="1" x14ac:dyDescent="0.25">
      <c r="A234" s="171">
        <v>36</v>
      </c>
      <c r="B234" s="171">
        <v>26</v>
      </c>
      <c r="C234" s="22">
        <f>C233+1</f>
        <v>99</v>
      </c>
      <c r="D234" s="23" t="s">
        <v>257</v>
      </c>
      <c r="E234" s="163">
        <v>65</v>
      </c>
      <c r="F234" s="24" t="s">
        <v>125</v>
      </c>
    </row>
    <row r="235" spans="1:6" ht="19.5" customHeight="1" x14ac:dyDescent="0.25">
      <c r="A235" s="171">
        <v>36</v>
      </c>
      <c r="B235" s="171">
        <v>26</v>
      </c>
      <c r="C235" s="22">
        <f>C234+1</f>
        <v>100</v>
      </c>
      <c r="D235" s="23" t="s">
        <v>258</v>
      </c>
      <c r="E235" s="162">
        <v>60</v>
      </c>
      <c r="F235" s="24" t="s">
        <v>125</v>
      </c>
    </row>
    <row r="236" spans="1:6" ht="19.5" customHeight="1" x14ac:dyDescent="0.25">
      <c r="A236" s="171">
        <v>29</v>
      </c>
      <c r="B236" s="171">
        <v>26</v>
      </c>
      <c r="D236" s="383" t="s">
        <v>96</v>
      </c>
      <c r="E236" s="383"/>
    </row>
    <row r="237" spans="1:6" ht="19.5" customHeight="1" x14ac:dyDescent="0.25">
      <c r="A237" s="171">
        <v>36</v>
      </c>
      <c r="B237" s="171">
        <v>26</v>
      </c>
      <c r="C237" s="22">
        <f>C235+1</f>
        <v>101</v>
      </c>
      <c r="D237" s="23" t="s">
        <v>255</v>
      </c>
      <c r="E237" s="162">
        <v>50</v>
      </c>
      <c r="F237" s="24" t="s">
        <v>125</v>
      </c>
    </row>
    <row r="238" spans="1:6" ht="19.5" customHeight="1" x14ac:dyDescent="0.25">
      <c r="A238" s="171">
        <v>36</v>
      </c>
      <c r="B238" s="171">
        <v>26</v>
      </c>
      <c r="C238" s="22">
        <f>C237+1</f>
        <v>102</v>
      </c>
      <c r="D238" s="23" t="s">
        <v>259</v>
      </c>
      <c r="E238" s="163"/>
      <c r="F238" s="24" t="s">
        <v>125</v>
      </c>
    </row>
    <row r="239" spans="1:6" ht="19.5" customHeight="1" x14ac:dyDescent="0.25">
      <c r="A239" s="171">
        <v>36</v>
      </c>
      <c r="B239" s="171">
        <v>26</v>
      </c>
      <c r="C239" s="22">
        <f>C238+1</f>
        <v>103</v>
      </c>
      <c r="D239" s="23" t="s">
        <v>150</v>
      </c>
      <c r="E239" s="163"/>
      <c r="F239" s="24" t="s">
        <v>125</v>
      </c>
    </row>
    <row r="240" spans="1:6" ht="19.5" customHeight="1" x14ac:dyDescent="0.25">
      <c r="A240" s="171">
        <v>36</v>
      </c>
      <c r="B240" s="171">
        <v>26</v>
      </c>
      <c r="C240" s="22">
        <f>C239+1</f>
        <v>104</v>
      </c>
      <c r="D240" s="23" t="s">
        <v>257</v>
      </c>
      <c r="E240" s="163">
        <v>47</v>
      </c>
      <c r="F240" s="24" t="s">
        <v>125</v>
      </c>
    </row>
    <row r="241" spans="1:14" ht="19.5" customHeight="1" x14ac:dyDescent="0.25">
      <c r="A241" s="171">
        <v>36</v>
      </c>
      <c r="B241" s="171">
        <v>26</v>
      </c>
      <c r="C241" s="22">
        <f>C240+1</f>
        <v>105</v>
      </c>
      <c r="D241" s="23" t="s">
        <v>258</v>
      </c>
      <c r="E241" s="163">
        <v>57</v>
      </c>
      <c r="F241" s="24" t="s">
        <v>125</v>
      </c>
    </row>
    <row r="242" spans="1:14" ht="19.5" customHeight="1" x14ac:dyDescent="0.25">
      <c r="A242" s="171">
        <v>24</v>
      </c>
      <c r="B242" s="171">
        <v>26</v>
      </c>
    </row>
    <row r="243" spans="1:14" ht="19.5" customHeight="1" x14ac:dyDescent="0.25">
      <c r="A243" s="171">
        <v>26</v>
      </c>
      <c r="B243" s="171">
        <v>26</v>
      </c>
      <c r="D243" s="392" t="s">
        <v>260</v>
      </c>
      <c r="E243" s="392"/>
    </row>
    <row r="244" spans="1:14" ht="19.5" customHeight="1" x14ac:dyDescent="0.25">
      <c r="A244" s="171">
        <v>36</v>
      </c>
      <c r="B244" s="171">
        <v>26</v>
      </c>
      <c r="C244" s="22">
        <f>C241+1</f>
        <v>106</v>
      </c>
      <c r="D244" s="37" t="s">
        <v>126</v>
      </c>
      <c r="E244" s="162"/>
      <c r="F244" s="24" t="s">
        <v>125</v>
      </c>
    </row>
    <row r="245" spans="1:14" ht="19.5" customHeight="1" x14ac:dyDescent="0.25">
      <c r="A245" s="171">
        <v>36</v>
      </c>
      <c r="B245" s="171">
        <v>26</v>
      </c>
      <c r="C245" s="22">
        <f>C244+1</f>
        <v>107</v>
      </c>
      <c r="D245" s="37" t="s">
        <v>127</v>
      </c>
      <c r="E245" s="163"/>
      <c r="F245" s="24" t="s">
        <v>125</v>
      </c>
    </row>
    <row r="246" spans="1:14" ht="19.5" customHeight="1" x14ac:dyDescent="0.25">
      <c r="A246" s="171">
        <v>36</v>
      </c>
      <c r="B246" s="171">
        <v>26</v>
      </c>
      <c r="C246" s="22">
        <f>C245+1</f>
        <v>108</v>
      </c>
      <c r="D246" s="37" t="s">
        <v>128</v>
      </c>
      <c r="E246" s="163"/>
      <c r="F246" s="24" t="s">
        <v>125</v>
      </c>
    </row>
    <row r="247" spans="1:14" ht="19.5" customHeight="1" x14ac:dyDescent="0.25">
      <c r="A247" s="171">
        <v>36</v>
      </c>
      <c r="B247" s="171">
        <v>26</v>
      </c>
      <c r="C247" s="22">
        <f>C246+1</f>
        <v>109</v>
      </c>
      <c r="D247" s="37" t="s">
        <v>129</v>
      </c>
      <c r="E247" s="163"/>
      <c r="F247" s="24" t="s">
        <v>125</v>
      </c>
    </row>
    <row r="248" spans="1:14" ht="19.5" customHeight="1" x14ac:dyDescent="0.25">
      <c r="A248" s="171">
        <v>36</v>
      </c>
      <c r="B248" s="171">
        <v>26</v>
      </c>
      <c r="C248" s="22">
        <f>C247+1</f>
        <v>110</v>
      </c>
      <c r="D248" s="37" t="s">
        <v>130</v>
      </c>
      <c r="E248" s="163"/>
      <c r="F248" s="24" t="s">
        <v>125</v>
      </c>
    </row>
    <row r="249" spans="1:14" ht="12" customHeight="1" x14ac:dyDescent="0.25">
      <c r="A249" s="171">
        <v>16</v>
      </c>
      <c r="B249" s="167">
        <v>16</v>
      </c>
      <c r="D249" s="37"/>
    </row>
    <row r="250" spans="1:14" ht="19.5" customHeight="1" x14ac:dyDescent="0.25">
      <c r="A250" s="171">
        <v>24</v>
      </c>
      <c r="B250" s="167">
        <v>26</v>
      </c>
      <c r="C250" s="385" t="s">
        <v>42</v>
      </c>
      <c r="D250" s="385"/>
    </row>
    <row r="251" spans="1:14" ht="19.5" customHeight="1" x14ac:dyDescent="0.25">
      <c r="A251" s="171">
        <v>26</v>
      </c>
      <c r="B251" s="167">
        <v>26</v>
      </c>
      <c r="C251" s="396" t="s">
        <v>163</v>
      </c>
      <c r="D251" s="396"/>
    </row>
    <row r="252" spans="1:14" ht="12" customHeight="1" x14ac:dyDescent="0.25">
      <c r="A252" s="171">
        <v>16</v>
      </c>
      <c r="B252" s="167">
        <v>16</v>
      </c>
      <c r="C252" s="38"/>
      <c r="D252" s="39"/>
    </row>
    <row r="253" spans="1:14" ht="19.5" customHeight="1" x14ac:dyDescent="0.25">
      <c r="A253" s="171">
        <v>36</v>
      </c>
      <c r="B253" s="167">
        <v>26</v>
      </c>
      <c r="C253" s="40">
        <f>C248+1</f>
        <v>111</v>
      </c>
      <c r="D253" s="41" t="s">
        <v>191</v>
      </c>
      <c r="E253" s="162">
        <v>8</v>
      </c>
    </row>
    <row r="254" spans="1:14" ht="45" hidden="1" customHeight="1" x14ac:dyDescent="0.25">
      <c r="A254" s="171">
        <v>60</v>
      </c>
      <c r="B254" s="167">
        <v>1</v>
      </c>
      <c r="C254" s="38"/>
      <c r="D254" s="402" t="s">
        <v>218</v>
      </c>
      <c r="E254" s="402"/>
    </row>
    <row r="255" spans="1:14" ht="12" customHeight="1" x14ac:dyDescent="0.25">
      <c r="A255" s="171">
        <v>16</v>
      </c>
      <c r="B255" s="167">
        <v>16</v>
      </c>
      <c r="C255" s="38"/>
      <c r="D255" s="42"/>
      <c r="E255" s="237"/>
    </row>
    <row r="256" spans="1:14" ht="19.5" customHeight="1" x14ac:dyDescent="0.25">
      <c r="A256" s="171">
        <v>26</v>
      </c>
      <c r="B256" s="167">
        <v>26</v>
      </c>
      <c r="C256" s="43"/>
      <c r="D256" s="401" t="s">
        <v>100</v>
      </c>
      <c r="E256" s="401"/>
      <c r="H256" s="131"/>
      <c r="I256" s="132"/>
      <c r="J256" s="132"/>
      <c r="K256" s="132"/>
      <c r="L256" s="132"/>
      <c r="M256" s="132"/>
      <c r="N256" s="132"/>
    </row>
    <row r="257" spans="1:9" ht="50.25" customHeight="1" x14ac:dyDescent="0.25">
      <c r="A257" s="171">
        <v>67</v>
      </c>
      <c r="B257" s="167">
        <v>67</v>
      </c>
      <c r="C257" s="38"/>
      <c r="D257" s="384" t="s">
        <v>261</v>
      </c>
      <c r="E257" s="384"/>
    </row>
    <row r="258" spans="1:9" ht="45" customHeight="1" x14ac:dyDescent="0.25">
      <c r="A258" s="171">
        <v>60</v>
      </c>
      <c r="B258" s="167">
        <v>60</v>
      </c>
      <c r="C258" s="38"/>
      <c r="D258" s="384" t="s">
        <v>262</v>
      </c>
      <c r="E258" s="384"/>
    </row>
    <row r="259" spans="1:9" ht="30.75" customHeight="1" x14ac:dyDescent="0.25">
      <c r="A259" s="171">
        <v>41</v>
      </c>
      <c r="B259" s="167">
        <v>41</v>
      </c>
      <c r="C259" s="38"/>
      <c r="D259" s="384" t="s">
        <v>263</v>
      </c>
      <c r="E259" s="384"/>
    </row>
    <row r="260" spans="1:9" ht="12" customHeight="1" x14ac:dyDescent="0.25">
      <c r="A260" s="171">
        <v>16</v>
      </c>
      <c r="B260" s="167">
        <v>16</v>
      </c>
      <c r="C260" s="38"/>
      <c r="D260" s="39"/>
    </row>
    <row r="261" spans="1:9" ht="19.5" customHeight="1" x14ac:dyDescent="0.25">
      <c r="A261" s="171">
        <v>26</v>
      </c>
      <c r="B261" s="167">
        <v>26</v>
      </c>
      <c r="D261" s="44" t="s">
        <v>101</v>
      </c>
    </row>
    <row r="262" spans="1:9" ht="32.25" customHeight="1" x14ac:dyDescent="0.25">
      <c r="A262" s="171">
        <v>43</v>
      </c>
      <c r="B262" s="167">
        <v>43</v>
      </c>
      <c r="C262" s="38"/>
      <c r="D262" s="396" t="s">
        <v>214</v>
      </c>
      <c r="E262" s="396"/>
    </row>
    <row r="263" spans="1:9" ht="12" customHeight="1" x14ac:dyDescent="0.25">
      <c r="A263" s="171">
        <v>16</v>
      </c>
      <c r="B263" s="167">
        <v>16</v>
      </c>
      <c r="C263" s="38"/>
      <c r="D263" s="45"/>
      <c r="E263" s="237"/>
    </row>
    <row r="264" spans="1:9" ht="30" customHeight="1" x14ac:dyDescent="0.25">
      <c r="A264" s="171">
        <v>40</v>
      </c>
      <c r="B264" s="167">
        <v>40</v>
      </c>
      <c r="D264" s="400" t="s">
        <v>229</v>
      </c>
      <c r="E264" s="400"/>
    </row>
    <row r="265" spans="1:9" ht="12" customHeight="1" x14ac:dyDescent="0.25">
      <c r="A265" s="171">
        <v>16</v>
      </c>
      <c r="B265" s="167">
        <v>16</v>
      </c>
      <c r="D265" s="46"/>
      <c r="E265" s="238"/>
    </row>
    <row r="266" spans="1:9" ht="75" customHeight="1" x14ac:dyDescent="0.25">
      <c r="A266" s="171">
        <v>80</v>
      </c>
      <c r="B266" s="167">
        <v>100</v>
      </c>
      <c r="C266" s="22">
        <f>C253+1</f>
        <v>112</v>
      </c>
      <c r="D266" s="49" t="s">
        <v>465</v>
      </c>
      <c r="E266" s="69">
        <v>1</v>
      </c>
      <c r="G266" s="64">
        <v>3</v>
      </c>
      <c r="I266" s="20"/>
    </row>
    <row r="267" spans="1:9" ht="19.5" hidden="1" customHeight="1" x14ac:dyDescent="0.25">
      <c r="A267" s="171">
        <v>26</v>
      </c>
      <c r="B267" s="167">
        <v>1</v>
      </c>
      <c r="D267" s="33"/>
      <c r="E267" s="228" t="str">
        <f>'Lists-Hidden'!D3</f>
        <v>Yes</v>
      </c>
    </row>
    <row r="268" spans="1:9" ht="19.5" hidden="1" customHeight="1" x14ac:dyDescent="0.25">
      <c r="A268" s="171">
        <v>26</v>
      </c>
      <c r="B268" s="167">
        <v>1</v>
      </c>
      <c r="D268" s="33"/>
      <c r="E268" s="230" t="str">
        <f>'Lists-Hidden'!D4</f>
        <v>No</v>
      </c>
    </row>
    <row r="269" spans="1:9" s="167" customFormat="1" ht="30.75" hidden="1" customHeight="1" x14ac:dyDescent="0.25">
      <c r="A269" s="171">
        <v>41</v>
      </c>
      <c r="B269" s="167">
        <v>1</v>
      </c>
      <c r="C269" s="22"/>
      <c r="D269" s="404" t="s">
        <v>454</v>
      </c>
      <c r="E269" s="404"/>
      <c r="F269" s="24"/>
      <c r="G269" s="64"/>
    </row>
    <row r="270" spans="1:9" s="20" customFormat="1" ht="30" customHeight="1" x14ac:dyDescent="0.25">
      <c r="A270" s="20">
        <v>1</v>
      </c>
      <c r="B270" s="20">
        <v>40</v>
      </c>
      <c r="C270" s="48"/>
      <c r="D270" s="391" t="str">
        <f>IF(G266=2, "Since you answered 'yes' to Question #1, skip the next questions and for Location A only do Test 1.", IF(G266=3, "Since you answered 'no' to Question #1, please go on to the next question.",""))</f>
        <v>Since you answered 'no' to Question #1, please go on to the next question.</v>
      </c>
      <c r="E270" s="391"/>
      <c r="F270" s="19"/>
      <c r="G270" s="63"/>
    </row>
    <row r="271" spans="1:9" ht="30" customHeight="1" x14ac:dyDescent="0.25">
      <c r="A271" s="171">
        <v>40</v>
      </c>
      <c r="B271" s="167">
        <v>40</v>
      </c>
      <c r="C271" s="22">
        <f>C266+1</f>
        <v>113</v>
      </c>
      <c r="D271" s="49" t="s">
        <v>466</v>
      </c>
      <c r="E271" s="69">
        <v>1</v>
      </c>
      <c r="G271" s="64">
        <v>3</v>
      </c>
    </row>
    <row r="272" spans="1:9" ht="19.5" hidden="1" customHeight="1" x14ac:dyDescent="0.25">
      <c r="A272" s="171">
        <v>26</v>
      </c>
      <c r="B272" s="167">
        <v>1</v>
      </c>
      <c r="D272" s="50"/>
      <c r="E272" s="228" t="str">
        <f>'Lists-Hidden'!D3</f>
        <v>Yes</v>
      </c>
    </row>
    <row r="273" spans="1:7" ht="19.5" hidden="1" customHeight="1" x14ac:dyDescent="0.25">
      <c r="A273" s="171">
        <v>26</v>
      </c>
      <c r="B273" s="167">
        <v>1</v>
      </c>
      <c r="D273" s="50"/>
      <c r="E273" s="230" t="str">
        <f>'Lists-Hidden'!D4</f>
        <v>No</v>
      </c>
    </row>
    <row r="274" spans="1:7" s="167" customFormat="1" ht="32.25" hidden="1" customHeight="1" x14ac:dyDescent="0.25">
      <c r="A274" s="171">
        <v>43</v>
      </c>
      <c r="B274" s="167">
        <v>1</v>
      </c>
      <c r="C274" s="22"/>
      <c r="D274" s="405" t="s">
        <v>455</v>
      </c>
      <c r="E274" s="405"/>
      <c r="F274" s="24"/>
      <c r="G274" s="64"/>
    </row>
    <row r="275" spans="1:7" s="20" customFormat="1" ht="30" customHeight="1" x14ac:dyDescent="0.25">
      <c r="A275" s="20">
        <v>1</v>
      </c>
      <c r="B275" s="20">
        <v>40</v>
      </c>
      <c r="C275" s="48"/>
      <c r="D275" s="391" t="str">
        <f>IF(AND(G266=2,G271=2),"You can only answer 'yes' to one question. Please reevaluate.",IF(G271=2,"Since you answered 'yes' to Question #2, skip the next question and for Location A do both Tests 1 and 2.",IF(G271=3,"Since you answered 'no' to Question #2, please go on to the next question.","")))</f>
        <v>Since you answered 'no' to Question #2, please go on to the next question.</v>
      </c>
      <c r="E275" s="391"/>
      <c r="F275" s="19"/>
      <c r="G275" s="63"/>
    </row>
    <row r="276" spans="1:7" ht="45" customHeight="1" x14ac:dyDescent="0.25">
      <c r="A276" s="171">
        <v>40</v>
      </c>
      <c r="B276" s="167">
        <v>60</v>
      </c>
      <c r="C276" s="22">
        <f>C271+1</f>
        <v>114</v>
      </c>
      <c r="D276" s="47" t="s">
        <v>203</v>
      </c>
      <c r="E276" s="69">
        <v>1</v>
      </c>
      <c r="G276" s="64">
        <v>2</v>
      </c>
    </row>
    <row r="277" spans="1:7" ht="19.5" hidden="1" customHeight="1" x14ac:dyDescent="0.25">
      <c r="A277" s="171">
        <v>26</v>
      </c>
      <c r="B277" s="167">
        <v>1</v>
      </c>
      <c r="D277" s="33"/>
      <c r="E277" s="228" t="str">
        <f>'Lists-Hidden'!D3</f>
        <v>Yes</v>
      </c>
    </row>
    <row r="278" spans="1:7" ht="19.5" hidden="1" customHeight="1" x14ac:dyDescent="0.25">
      <c r="A278" s="171">
        <v>26</v>
      </c>
      <c r="B278" s="167">
        <v>1</v>
      </c>
      <c r="D278" s="33"/>
      <c r="E278" s="230" t="str">
        <f>'Lists-Hidden'!D4</f>
        <v>No</v>
      </c>
    </row>
    <row r="279" spans="1:7" s="167" customFormat="1" ht="32.25" hidden="1" customHeight="1" x14ac:dyDescent="0.25">
      <c r="A279" s="171">
        <v>43</v>
      </c>
      <c r="B279" s="167">
        <v>1</v>
      </c>
      <c r="C279" s="22"/>
      <c r="D279" s="404" t="s">
        <v>456</v>
      </c>
      <c r="E279" s="404"/>
      <c r="F279" s="24"/>
      <c r="G279" s="64"/>
    </row>
    <row r="280" spans="1:7" ht="15" customHeight="1" x14ac:dyDescent="0.25">
      <c r="A280" s="171">
        <v>1</v>
      </c>
      <c r="B280" s="167">
        <v>20</v>
      </c>
      <c r="D280" s="394" t="str">
        <f>IF(OR(AND(G266=2,G271=2),AND(G266=2,G276=2),AND(G271=2,G276=2)),"You can only answer 'yes' to one question.",IF(AND(G266&lt;&gt;2,G271&lt;&gt;2,G276&lt;&gt;2),"You need to answer 'yes' to one question. Please reevaluate your answers.",IF(G276=2,"Since you answered 'yes' to Question #3, for Location A  do Tests 1-5","")))</f>
        <v>Since you answered 'yes' to Question #3, for Location A  do Tests 1-5</v>
      </c>
      <c r="E280" s="394"/>
    </row>
    <row r="281" spans="1:7" ht="18" customHeight="1" x14ac:dyDescent="0.25">
      <c r="A281" s="171">
        <v>1</v>
      </c>
      <c r="B281" s="167">
        <v>24</v>
      </c>
      <c r="D281" s="399" t="str">
        <f>IF(OR(AND(G266=2,G271=2),AND(G266=2,G276=2),AND(G271=2,G276=2),AND(G266&lt;&gt;2,G271&lt;&gt;2,G276&lt;&gt;2)),"ERROR - THERE IS NOT YET ONLY ONE 'YES' ANSWER ABOVE","YOU MAY CONTINUE")</f>
        <v>YOU MAY CONTINUE</v>
      </c>
      <c r="E281" s="399"/>
    </row>
    <row r="282" spans="1:7" ht="18" customHeight="1" x14ac:dyDescent="0.25">
      <c r="A282" s="171">
        <v>16</v>
      </c>
      <c r="B282" s="167">
        <v>24</v>
      </c>
    </row>
    <row r="283" spans="1:7" ht="27" hidden="1" customHeight="1" x14ac:dyDescent="0.25">
      <c r="A283" s="171">
        <v>36</v>
      </c>
      <c r="B283" s="167">
        <v>1</v>
      </c>
      <c r="D283" s="397" t="s">
        <v>231</v>
      </c>
      <c r="E283" s="397"/>
    </row>
    <row r="284" spans="1:7" ht="27" hidden="1" customHeight="1" x14ac:dyDescent="0.25">
      <c r="A284" s="171">
        <v>36</v>
      </c>
      <c r="B284" s="167">
        <v>1</v>
      </c>
      <c r="D284" s="397" t="s">
        <v>232</v>
      </c>
      <c r="E284" s="397"/>
    </row>
    <row r="285" spans="1:7" ht="27" hidden="1" customHeight="1" x14ac:dyDescent="0.25">
      <c r="A285" s="171">
        <v>36</v>
      </c>
      <c r="B285" s="167">
        <v>1</v>
      </c>
      <c r="D285" s="389" t="s">
        <v>230</v>
      </c>
      <c r="E285" s="389"/>
    </row>
    <row r="286" spans="1:7" ht="19.5" customHeight="1" x14ac:dyDescent="0.2">
      <c r="A286" s="171">
        <v>26</v>
      </c>
      <c r="B286" s="167">
        <v>26</v>
      </c>
      <c r="D286" s="398" t="s">
        <v>204</v>
      </c>
      <c r="E286" s="398"/>
      <c r="F286" s="398"/>
    </row>
    <row r="287" spans="1:7" ht="19.5" customHeight="1" x14ac:dyDescent="0.25">
      <c r="A287" s="171">
        <v>24</v>
      </c>
      <c r="B287" s="167">
        <v>26</v>
      </c>
      <c r="D287" s="51" t="s">
        <v>107</v>
      </c>
    </row>
    <row r="288" spans="1:7" ht="19.5" customHeight="1" x14ac:dyDescent="0.2">
      <c r="A288" s="171">
        <v>26</v>
      </c>
      <c r="B288" s="171">
        <v>26</v>
      </c>
      <c r="D288" s="390" t="s">
        <v>195</v>
      </c>
      <c r="E288" s="390"/>
      <c r="F288" s="390"/>
    </row>
    <row r="289" spans="1:8" ht="19.5" customHeight="1" x14ac:dyDescent="0.25">
      <c r="A289" s="171">
        <v>26</v>
      </c>
      <c r="B289" s="171">
        <v>26</v>
      </c>
      <c r="D289" s="46" t="s">
        <v>164</v>
      </c>
    </row>
    <row r="290" spans="1:8" ht="19.5" customHeight="1" x14ac:dyDescent="0.25">
      <c r="A290" s="171">
        <v>26</v>
      </c>
      <c r="B290" s="171">
        <v>26</v>
      </c>
      <c r="D290" s="52" t="s">
        <v>123</v>
      </c>
    </row>
    <row r="291" spans="1:8" s="144" customFormat="1" ht="29.25" hidden="1" customHeight="1" x14ac:dyDescent="0.25">
      <c r="A291" s="173">
        <v>39</v>
      </c>
      <c r="B291" s="169">
        <v>1</v>
      </c>
      <c r="C291" s="112"/>
      <c r="D291" s="382" t="s">
        <v>441</v>
      </c>
      <c r="E291" s="382"/>
      <c r="F291" s="148"/>
    </row>
    <row r="292" spans="1:8" ht="19.5" customHeight="1" x14ac:dyDescent="0.25">
      <c r="A292" s="171">
        <v>36</v>
      </c>
      <c r="B292" s="167">
        <v>26</v>
      </c>
      <c r="C292" s="22">
        <f>C276+1</f>
        <v>115</v>
      </c>
      <c r="D292" s="23" t="s">
        <v>148</v>
      </c>
      <c r="E292" s="162">
        <v>5</v>
      </c>
      <c r="F292" s="24" t="s">
        <v>132</v>
      </c>
    </row>
    <row r="293" spans="1:8" ht="19.5" customHeight="1" x14ac:dyDescent="0.25">
      <c r="A293" s="171">
        <v>36</v>
      </c>
      <c r="B293" s="167">
        <v>26</v>
      </c>
      <c r="C293" s="22">
        <f>C292+1</f>
        <v>116</v>
      </c>
      <c r="D293" s="23" t="s">
        <v>239</v>
      </c>
      <c r="E293" s="163">
        <v>65</v>
      </c>
      <c r="F293" s="24" t="s">
        <v>125</v>
      </c>
      <c r="H293" s="83"/>
    </row>
    <row r="294" spans="1:8" ht="19.5" customHeight="1" x14ac:dyDescent="0.25">
      <c r="A294" s="171">
        <v>21</v>
      </c>
      <c r="B294" s="167">
        <v>26</v>
      </c>
      <c r="E294" s="239" t="s">
        <v>146</v>
      </c>
    </row>
    <row r="295" spans="1:8" ht="19.5" customHeight="1" x14ac:dyDescent="0.25">
      <c r="A295" s="171">
        <v>36</v>
      </c>
      <c r="B295" s="167">
        <v>26</v>
      </c>
      <c r="C295" s="22">
        <f>C293+1</f>
        <v>117</v>
      </c>
      <c r="D295" s="23" t="s">
        <v>9</v>
      </c>
      <c r="E295" s="162">
        <v>300</v>
      </c>
      <c r="F295" s="24" t="s">
        <v>147</v>
      </c>
    </row>
    <row r="296" spans="1:8" ht="19.5" customHeight="1" x14ac:dyDescent="0.25">
      <c r="A296" s="171">
        <v>36</v>
      </c>
      <c r="B296" s="167">
        <v>26</v>
      </c>
      <c r="C296" s="22">
        <f t="shared" ref="C296:C310" si="1">C295+1</f>
        <v>118</v>
      </c>
      <c r="D296" s="23" t="s">
        <v>10</v>
      </c>
      <c r="E296" s="163">
        <v>325</v>
      </c>
      <c r="F296" s="24" t="s">
        <v>147</v>
      </c>
    </row>
    <row r="297" spans="1:8" ht="19.5" customHeight="1" x14ac:dyDescent="0.25">
      <c r="A297" s="171">
        <v>36</v>
      </c>
      <c r="B297" s="167">
        <v>26</v>
      </c>
      <c r="C297" s="22">
        <f t="shared" si="1"/>
        <v>119</v>
      </c>
      <c r="D297" s="23" t="s">
        <v>11</v>
      </c>
      <c r="E297" s="163">
        <v>330</v>
      </c>
      <c r="F297" s="24" t="s">
        <v>147</v>
      </c>
    </row>
    <row r="298" spans="1:8" ht="19.5" customHeight="1" x14ac:dyDescent="0.25">
      <c r="A298" s="171">
        <v>36</v>
      </c>
      <c r="B298" s="171">
        <v>26</v>
      </c>
      <c r="C298" s="22">
        <f t="shared" si="1"/>
        <v>120</v>
      </c>
      <c r="D298" s="23" t="s">
        <v>44</v>
      </c>
      <c r="E298" s="163">
        <v>305</v>
      </c>
      <c r="F298" s="24" t="s">
        <v>147</v>
      </c>
    </row>
    <row r="299" spans="1:8" ht="19.5" customHeight="1" x14ac:dyDescent="0.25">
      <c r="A299" s="171">
        <v>36</v>
      </c>
      <c r="B299" s="171">
        <v>26</v>
      </c>
      <c r="C299" s="22">
        <f t="shared" si="1"/>
        <v>121</v>
      </c>
      <c r="D299" s="23" t="s">
        <v>45</v>
      </c>
      <c r="E299" s="163">
        <v>325</v>
      </c>
      <c r="F299" s="24" t="s">
        <v>147</v>
      </c>
    </row>
    <row r="300" spans="1:8" ht="19.5" customHeight="1" x14ac:dyDescent="0.25">
      <c r="A300" s="171">
        <v>36</v>
      </c>
      <c r="B300" s="171">
        <v>26</v>
      </c>
      <c r="C300" s="22">
        <f t="shared" si="1"/>
        <v>122</v>
      </c>
      <c r="D300" s="23" t="s">
        <v>46</v>
      </c>
      <c r="E300" s="163">
        <v>335</v>
      </c>
      <c r="F300" s="24" t="s">
        <v>147</v>
      </c>
    </row>
    <row r="301" spans="1:8" ht="19.5" customHeight="1" x14ac:dyDescent="0.25">
      <c r="A301" s="171">
        <v>36</v>
      </c>
      <c r="B301" s="171">
        <v>26</v>
      </c>
      <c r="C301" s="22">
        <f t="shared" si="1"/>
        <v>123</v>
      </c>
      <c r="D301" s="23" t="s">
        <v>47</v>
      </c>
      <c r="E301" s="163">
        <v>295</v>
      </c>
      <c r="F301" s="24" t="s">
        <v>147</v>
      </c>
    </row>
    <row r="302" spans="1:8" ht="19.5" customHeight="1" x14ac:dyDescent="0.25">
      <c r="A302" s="171">
        <v>36</v>
      </c>
      <c r="B302" s="171">
        <v>26</v>
      </c>
      <c r="C302" s="22">
        <f t="shared" si="1"/>
        <v>124</v>
      </c>
      <c r="D302" s="23" t="s">
        <v>48</v>
      </c>
      <c r="E302" s="163">
        <v>350</v>
      </c>
      <c r="F302" s="24" t="s">
        <v>147</v>
      </c>
    </row>
    <row r="303" spans="1:8" ht="19.5" customHeight="1" x14ac:dyDescent="0.25">
      <c r="A303" s="171">
        <v>36</v>
      </c>
      <c r="B303" s="171">
        <v>26</v>
      </c>
      <c r="C303" s="22">
        <f t="shared" si="1"/>
        <v>125</v>
      </c>
      <c r="D303" s="23" t="s">
        <v>49</v>
      </c>
      <c r="E303" s="163">
        <v>335</v>
      </c>
      <c r="F303" s="24" t="s">
        <v>147</v>
      </c>
    </row>
    <row r="304" spans="1:8" ht="19.5" customHeight="1" x14ac:dyDescent="0.25">
      <c r="A304" s="171">
        <v>36</v>
      </c>
      <c r="B304" s="171">
        <v>26</v>
      </c>
      <c r="C304" s="22">
        <f t="shared" si="1"/>
        <v>126</v>
      </c>
      <c r="D304" s="23" t="s">
        <v>50</v>
      </c>
      <c r="E304" s="163">
        <v>325</v>
      </c>
      <c r="F304" s="24" t="s">
        <v>147</v>
      </c>
    </row>
    <row r="305" spans="1:8" ht="19.5" customHeight="1" x14ac:dyDescent="0.25">
      <c r="A305" s="171">
        <v>36</v>
      </c>
      <c r="B305" s="171">
        <v>26</v>
      </c>
      <c r="C305" s="22">
        <f t="shared" si="1"/>
        <v>127</v>
      </c>
      <c r="D305" s="23" t="s">
        <v>51</v>
      </c>
      <c r="E305" s="163">
        <v>315</v>
      </c>
      <c r="F305" s="24" t="s">
        <v>147</v>
      </c>
    </row>
    <row r="306" spans="1:8" ht="19.5" customHeight="1" x14ac:dyDescent="0.25">
      <c r="A306" s="171">
        <v>36</v>
      </c>
      <c r="B306" s="171">
        <v>26</v>
      </c>
      <c r="C306" s="22">
        <f t="shared" si="1"/>
        <v>128</v>
      </c>
      <c r="D306" s="23" t="s">
        <v>52</v>
      </c>
      <c r="E306" s="163">
        <v>300</v>
      </c>
      <c r="F306" s="24" t="s">
        <v>147</v>
      </c>
    </row>
    <row r="307" spans="1:8" ht="19.5" customHeight="1" x14ac:dyDescent="0.25">
      <c r="A307" s="171">
        <v>36</v>
      </c>
      <c r="B307" s="171">
        <v>26</v>
      </c>
      <c r="C307" s="22">
        <f t="shared" si="1"/>
        <v>129</v>
      </c>
      <c r="D307" s="23" t="s">
        <v>53</v>
      </c>
      <c r="E307" s="163">
        <v>315</v>
      </c>
      <c r="F307" s="24" t="s">
        <v>147</v>
      </c>
    </row>
    <row r="308" spans="1:8" ht="19.5" customHeight="1" x14ac:dyDescent="0.25">
      <c r="A308" s="171">
        <v>36</v>
      </c>
      <c r="B308" s="171">
        <v>26</v>
      </c>
      <c r="C308" s="22">
        <f t="shared" si="1"/>
        <v>130</v>
      </c>
      <c r="D308" s="23" t="s">
        <v>54</v>
      </c>
      <c r="E308" s="163">
        <v>400</v>
      </c>
      <c r="F308" s="24" t="s">
        <v>147</v>
      </c>
    </row>
    <row r="309" spans="1:8" ht="19.5" customHeight="1" x14ac:dyDescent="0.25">
      <c r="A309" s="171">
        <v>36</v>
      </c>
      <c r="B309" s="171">
        <v>26</v>
      </c>
      <c r="C309" s="22">
        <f t="shared" si="1"/>
        <v>131</v>
      </c>
      <c r="D309" s="23" t="s">
        <v>55</v>
      </c>
      <c r="E309" s="163">
        <v>310</v>
      </c>
      <c r="F309" s="24" t="s">
        <v>147</v>
      </c>
    </row>
    <row r="310" spans="1:8" ht="19.5" customHeight="1" x14ac:dyDescent="0.25">
      <c r="A310" s="171">
        <v>36</v>
      </c>
      <c r="B310" s="171">
        <v>26</v>
      </c>
      <c r="C310" s="22">
        <f t="shared" si="1"/>
        <v>132</v>
      </c>
      <c r="D310" s="23" t="s">
        <v>56</v>
      </c>
      <c r="E310" s="163">
        <v>300</v>
      </c>
      <c r="F310" s="24" t="s">
        <v>147</v>
      </c>
    </row>
    <row r="311" spans="1:8" ht="19.5" customHeight="1" x14ac:dyDescent="0.25">
      <c r="A311" s="171">
        <v>10</v>
      </c>
      <c r="B311" s="171">
        <v>26</v>
      </c>
    </row>
    <row r="312" spans="1:8" ht="19.5" customHeight="1" x14ac:dyDescent="0.25">
      <c r="A312" s="171">
        <v>26</v>
      </c>
      <c r="B312" s="171">
        <v>26</v>
      </c>
      <c r="D312" s="46" t="s">
        <v>165</v>
      </c>
    </row>
    <row r="313" spans="1:8" ht="30" customHeight="1" x14ac:dyDescent="0.25">
      <c r="A313" s="171">
        <v>40</v>
      </c>
      <c r="B313" s="167">
        <v>40</v>
      </c>
      <c r="D313" s="378" t="s">
        <v>219</v>
      </c>
      <c r="E313" s="378"/>
      <c r="H313" s="83"/>
    </row>
    <row r="314" spans="1:8" ht="19.5" customHeight="1" x14ac:dyDescent="0.25">
      <c r="A314" s="171">
        <v>36</v>
      </c>
      <c r="B314" s="167">
        <v>26</v>
      </c>
      <c r="C314" s="22">
        <f>C310+1</f>
        <v>133</v>
      </c>
      <c r="D314" s="23" t="s">
        <v>148</v>
      </c>
      <c r="E314" s="162">
        <v>4</v>
      </c>
      <c r="F314" s="24" t="s">
        <v>132</v>
      </c>
    </row>
    <row r="315" spans="1:8" ht="19.5" customHeight="1" x14ac:dyDescent="0.25">
      <c r="A315" s="171">
        <v>36</v>
      </c>
      <c r="B315" s="167">
        <v>26</v>
      </c>
      <c r="C315" s="22">
        <f>C314+1</f>
        <v>134</v>
      </c>
      <c r="D315" s="23" t="s">
        <v>239</v>
      </c>
      <c r="E315" s="163">
        <v>15</v>
      </c>
      <c r="F315" s="24" t="s">
        <v>125</v>
      </c>
    </row>
    <row r="316" spans="1:8" ht="19.5" customHeight="1" x14ac:dyDescent="0.25">
      <c r="A316" s="171">
        <v>36</v>
      </c>
      <c r="B316" s="167">
        <v>26</v>
      </c>
      <c r="C316" s="22">
        <f>C315+1</f>
        <v>135</v>
      </c>
      <c r="D316" s="23" t="s">
        <v>149</v>
      </c>
      <c r="E316" s="163">
        <v>4060</v>
      </c>
      <c r="F316" s="24" t="s">
        <v>147</v>
      </c>
    </row>
    <row r="317" spans="1:8" ht="30" hidden="1" customHeight="1" x14ac:dyDescent="0.25">
      <c r="A317" s="171">
        <v>40</v>
      </c>
      <c r="B317" s="167">
        <v>1</v>
      </c>
      <c r="D317" s="370" t="s">
        <v>192</v>
      </c>
      <c r="E317" s="370"/>
    </row>
    <row r="318" spans="1:8" ht="19.5" customHeight="1" x14ac:dyDescent="0.25">
      <c r="A318" s="171">
        <v>36</v>
      </c>
      <c r="B318" s="167">
        <v>26</v>
      </c>
      <c r="C318" s="22">
        <f>C316+1</f>
        <v>136</v>
      </c>
      <c r="D318" s="27" t="s">
        <v>120</v>
      </c>
      <c r="E318" s="162">
        <v>16</v>
      </c>
    </row>
    <row r="319" spans="1:8" ht="18" hidden="1" customHeight="1" x14ac:dyDescent="0.25">
      <c r="A319" s="171">
        <v>24</v>
      </c>
      <c r="B319" s="167">
        <v>1</v>
      </c>
      <c r="D319" s="374" t="s">
        <v>121</v>
      </c>
      <c r="E319" s="374"/>
    </row>
    <row r="320" spans="1:8" ht="7.5" customHeight="1" x14ac:dyDescent="0.25">
      <c r="A320" s="171">
        <v>10</v>
      </c>
      <c r="B320" s="167">
        <v>10</v>
      </c>
    </row>
    <row r="321" spans="1:6" ht="19.5" customHeight="1" x14ac:dyDescent="0.25">
      <c r="A321" s="171">
        <v>26</v>
      </c>
      <c r="B321" s="167">
        <v>26</v>
      </c>
      <c r="D321" s="46" t="s">
        <v>166</v>
      </c>
    </row>
    <row r="322" spans="1:6" ht="19.5" customHeight="1" x14ac:dyDescent="0.25">
      <c r="A322" s="171">
        <v>26</v>
      </c>
      <c r="B322" s="167">
        <v>26</v>
      </c>
      <c r="D322" s="378" t="s">
        <v>117</v>
      </c>
      <c r="E322" s="378"/>
    </row>
    <row r="323" spans="1:6" ht="19.5" customHeight="1" x14ac:dyDescent="0.25">
      <c r="A323" s="171">
        <v>36</v>
      </c>
      <c r="B323" s="167">
        <v>26</v>
      </c>
      <c r="C323" s="22">
        <f>C318+1</f>
        <v>137</v>
      </c>
      <c r="D323" s="23" t="s">
        <v>148</v>
      </c>
      <c r="E323" s="162">
        <v>4</v>
      </c>
      <c r="F323" s="24" t="s">
        <v>132</v>
      </c>
    </row>
    <row r="324" spans="1:6" ht="19.5" customHeight="1" x14ac:dyDescent="0.25">
      <c r="A324" s="171">
        <v>36</v>
      </c>
      <c r="B324" s="167">
        <v>26</v>
      </c>
      <c r="C324" s="22">
        <f>C323+1</f>
        <v>138</v>
      </c>
      <c r="D324" s="23" t="s">
        <v>239</v>
      </c>
      <c r="E324" s="163">
        <v>31</v>
      </c>
      <c r="F324" s="24" t="s">
        <v>125</v>
      </c>
    </row>
    <row r="325" spans="1:6" ht="19.5" customHeight="1" x14ac:dyDescent="0.25">
      <c r="A325" s="171">
        <v>36</v>
      </c>
      <c r="B325" s="167">
        <v>26</v>
      </c>
      <c r="C325" s="22">
        <f>C324+1</f>
        <v>139</v>
      </c>
      <c r="D325" s="23" t="s">
        <v>149</v>
      </c>
      <c r="E325" s="163">
        <v>3750</v>
      </c>
      <c r="F325" s="24" t="s">
        <v>147</v>
      </c>
    </row>
    <row r="326" spans="1:6" ht="30" hidden="1" customHeight="1" x14ac:dyDescent="0.25">
      <c r="A326" s="171">
        <v>40</v>
      </c>
      <c r="B326" s="167">
        <v>1</v>
      </c>
      <c r="D326" s="381" t="s">
        <v>215</v>
      </c>
      <c r="E326" s="381"/>
    </row>
    <row r="327" spans="1:6" ht="19.5" customHeight="1" x14ac:dyDescent="0.25">
      <c r="A327" s="171">
        <v>36</v>
      </c>
      <c r="B327" s="167">
        <v>26</v>
      </c>
      <c r="C327" s="22">
        <f>C325+1</f>
        <v>140</v>
      </c>
      <c r="D327" s="27" t="s">
        <v>120</v>
      </c>
      <c r="E327" s="162">
        <v>15</v>
      </c>
    </row>
    <row r="328" spans="1:6" ht="18" hidden="1" customHeight="1" x14ac:dyDescent="0.25">
      <c r="A328" s="171">
        <v>24</v>
      </c>
      <c r="B328" s="167">
        <v>1</v>
      </c>
      <c r="D328" s="374" t="s">
        <v>121</v>
      </c>
      <c r="E328" s="374"/>
    </row>
    <row r="329" spans="1:6" ht="7.5" customHeight="1" x14ac:dyDescent="0.25">
      <c r="A329" s="171">
        <v>10</v>
      </c>
      <c r="B329" s="167">
        <v>10</v>
      </c>
      <c r="D329" s="53"/>
    </row>
    <row r="330" spans="1:6" ht="19.5" customHeight="1" x14ac:dyDescent="0.25">
      <c r="A330" s="171">
        <v>26</v>
      </c>
      <c r="B330" s="167">
        <v>26</v>
      </c>
      <c r="D330" s="46" t="s">
        <v>167</v>
      </c>
    </row>
    <row r="331" spans="1:6" ht="19.5" customHeight="1" x14ac:dyDescent="0.25">
      <c r="A331" s="171">
        <v>26</v>
      </c>
      <c r="B331" s="167">
        <v>26</v>
      </c>
      <c r="D331" s="378" t="s">
        <v>118</v>
      </c>
      <c r="E331" s="378"/>
    </row>
    <row r="332" spans="1:6" ht="19.5" customHeight="1" x14ac:dyDescent="0.25">
      <c r="A332" s="171">
        <v>36</v>
      </c>
      <c r="B332" s="167">
        <v>26</v>
      </c>
      <c r="C332" s="22">
        <f>C327+1</f>
        <v>141</v>
      </c>
      <c r="D332" s="23" t="s">
        <v>148</v>
      </c>
      <c r="E332" s="162">
        <v>3</v>
      </c>
      <c r="F332" s="24" t="s">
        <v>132</v>
      </c>
    </row>
    <row r="333" spans="1:6" ht="19.5" customHeight="1" x14ac:dyDescent="0.25">
      <c r="A333" s="171">
        <v>36</v>
      </c>
      <c r="B333" s="167">
        <v>26</v>
      </c>
      <c r="C333" s="22">
        <f>C332+1</f>
        <v>142</v>
      </c>
      <c r="D333" s="23" t="s">
        <v>239</v>
      </c>
      <c r="E333" s="163">
        <v>46</v>
      </c>
      <c r="F333" s="24" t="s">
        <v>125</v>
      </c>
    </row>
    <row r="334" spans="1:6" ht="19.5" customHeight="1" x14ac:dyDescent="0.25">
      <c r="A334" s="171">
        <v>36</v>
      </c>
      <c r="B334" s="167">
        <v>26</v>
      </c>
      <c r="C334" s="22">
        <f>C333+1</f>
        <v>143</v>
      </c>
      <c r="D334" s="23" t="s">
        <v>149</v>
      </c>
      <c r="E334" s="163">
        <v>3070</v>
      </c>
      <c r="F334" s="24" t="s">
        <v>147</v>
      </c>
    </row>
    <row r="335" spans="1:6" ht="30" hidden="1" customHeight="1" x14ac:dyDescent="0.25">
      <c r="A335" s="171">
        <v>40</v>
      </c>
      <c r="B335" s="167">
        <v>1</v>
      </c>
      <c r="D335" s="381" t="s">
        <v>216</v>
      </c>
      <c r="E335" s="381"/>
    </row>
    <row r="336" spans="1:6" ht="19.5" customHeight="1" x14ac:dyDescent="0.25">
      <c r="A336" s="171">
        <v>36</v>
      </c>
      <c r="B336" s="167">
        <v>26</v>
      </c>
      <c r="C336" s="22">
        <f>C334+1</f>
        <v>144</v>
      </c>
      <c r="D336" s="27" t="s">
        <v>120</v>
      </c>
      <c r="E336" s="162">
        <v>16</v>
      </c>
    </row>
    <row r="337" spans="1:12" ht="18" hidden="1" customHeight="1" x14ac:dyDescent="0.25">
      <c r="A337" s="171">
        <v>24</v>
      </c>
      <c r="B337" s="167">
        <v>1</v>
      </c>
      <c r="D337" s="374" t="s">
        <v>121</v>
      </c>
      <c r="E337" s="374"/>
    </row>
    <row r="338" spans="1:12" ht="7.5" customHeight="1" x14ac:dyDescent="0.25">
      <c r="A338" s="171">
        <v>10</v>
      </c>
      <c r="B338" s="167">
        <v>10</v>
      </c>
      <c r="D338" s="53"/>
    </row>
    <row r="339" spans="1:12" ht="19.5" customHeight="1" x14ac:dyDescent="0.25">
      <c r="A339" s="171">
        <v>26</v>
      </c>
      <c r="B339" s="167">
        <v>26</v>
      </c>
      <c r="D339" s="46" t="s">
        <v>108</v>
      </c>
    </row>
    <row r="340" spans="1:12" ht="19.5" customHeight="1" x14ac:dyDescent="0.25">
      <c r="A340" s="171">
        <v>26</v>
      </c>
      <c r="B340" s="167">
        <v>26</v>
      </c>
      <c r="D340" s="378" t="s">
        <v>119</v>
      </c>
      <c r="E340" s="378"/>
    </row>
    <row r="341" spans="1:12" ht="19.5" customHeight="1" x14ac:dyDescent="0.25">
      <c r="A341" s="171">
        <v>36</v>
      </c>
      <c r="B341" s="167">
        <v>26</v>
      </c>
      <c r="C341" s="22">
        <f>C336+1</f>
        <v>145</v>
      </c>
      <c r="D341" s="23" t="s">
        <v>148</v>
      </c>
      <c r="E341" s="162">
        <v>5</v>
      </c>
      <c r="F341" s="24" t="s">
        <v>132</v>
      </c>
    </row>
    <row r="342" spans="1:12" ht="19.5" customHeight="1" x14ac:dyDescent="0.25">
      <c r="A342" s="171">
        <v>36</v>
      </c>
      <c r="B342" s="167">
        <v>26</v>
      </c>
      <c r="C342" s="22">
        <f>C341+1</f>
        <v>146</v>
      </c>
      <c r="D342" s="23" t="s">
        <v>239</v>
      </c>
      <c r="E342" s="163">
        <v>54</v>
      </c>
      <c r="F342" s="24" t="s">
        <v>125</v>
      </c>
    </row>
    <row r="343" spans="1:12" ht="19.5" customHeight="1" x14ac:dyDescent="0.25">
      <c r="A343" s="171">
        <v>36</v>
      </c>
      <c r="B343" s="167">
        <v>26</v>
      </c>
      <c r="C343" s="22">
        <f>C342+1</f>
        <v>147</v>
      </c>
      <c r="D343" s="23" t="s">
        <v>149</v>
      </c>
      <c r="E343" s="163">
        <v>5150</v>
      </c>
      <c r="F343" s="24" t="s">
        <v>147</v>
      </c>
    </row>
    <row r="344" spans="1:12" ht="30" hidden="1" customHeight="1" x14ac:dyDescent="0.25">
      <c r="A344" s="171">
        <v>40</v>
      </c>
      <c r="B344" s="167">
        <v>1</v>
      </c>
      <c r="D344" s="381" t="s">
        <v>217</v>
      </c>
      <c r="E344" s="381"/>
    </row>
    <row r="345" spans="1:12" ht="19.5" customHeight="1" x14ac:dyDescent="0.25">
      <c r="A345" s="171">
        <v>36</v>
      </c>
      <c r="B345" s="167">
        <v>26</v>
      </c>
      <c r="C345" s="22">
        <f>C343+1</f>
        <v>148</v>
      </c>
      <c r="D345" s="27" t="s">
        <v>120</v>
      </c>
      <c r="E345" s="162">
        <v>16</v>
      </c>
    </row>
    <row r="346" spans="1:12" ht="18" hidden="1" customHeight="1" x14ac:dyDescent="0.25">
      <c r="A346" s="171">
        <v>24</v>
      </c>
      <c r="B346" s="167">
        <v>1</v>
      </c>
      <c r="D346" s="374" t="s">
        <v>121</v>
      </c>
      <c r="E346" s="374"/>
    </row>
    <row r="347" spans="1:12" ht="7.5" customHeight="1" x14ac:dyDescent="0.25">
      <c r="A347" s="171">
        <v>10</v>
      </c>
      <c r="B347" s="167">
        <v>10</v>
      </c>
      <c r="D347" s="53"/>
    </row>
    <row r="348" spans="1:12" ht="19.5" customHeight="1" x14ac:dyDescent="0.25">
      <c r="A348" s="171">
        <v>26</v>
      </c>
      <c r="B348" s="167">
        <v>26</v>
      </c>
      <c r="D348" s="388" t="s">
        <v>206</v>
      </c>
      <c r="E348" s="388"/>
    </row>
    <row r="349" spans="1:12" ht="19.5" customHeight="1" x14ac:dyDescent="0.25">
      <c r="A349" s="171">
        <v>26</v>
      </c>
      <c r="B349" s="167">
        <v>26</v>
      </c>
      <c r="C349" s="54"/>
      <c r="D349" s="379" t="s">
        <v>109</v>
      </c>
      <c r="E349" s="379"/>
      <c r="H349" s="20"/>
      <c r="I349" s="20"/>
      <c r="J349" s="20"/>
      <c r="K349" s="20"/>
      <c r="L349" s="20"/>
    </row>
    <row r="350" spans="1:12" s="144" customFormat="1" ht="29.25" hidden="1" customHeight="1" x14ac:dyDescent="0.25">
      <c r="A350" s="173">
        <v>39</v>
      </c>
      <c r="B350" s="169">
        <v>1</v>
      </c>
      <c r="C350" s="112"/>
      <c r="D350" s="382" t="s">
        <v>441</v>
      </c>
      <c r="E350" s="382"/>
      <c r="F350" s="148"/>
    </row>
    <row r="351" spans="1:12" ht="19.5" customHeight="1" x14ac:dyDescent="0.25">
      <c r="A351" s="171">
        <v>36</v>
      </c>
      <c r="B351" s="167">
        <v>26</v>
      </c>
      <c r="C351" s="22">
        <f>C345+1</f>
        <v>149</v>
      </c>
      <c r="D351" s="23" t="s">
        <v>148</v>
      </c>
      <c r="E351" s="162">
        <v>7</v>
      </c>
      <c r="F351" s="24" t="s">
        <v>132</v>
      </c>
      <c r="H351" s="20"/>
      <c r="I351" s="20"/>
      <c r="J351" s="20"/>
      <c r="K351" s="20"/>
      <c r="L351" s="20"/>
    </row>
    <row r="352" spans="1:12" ht="19.5" customHeight="1" x14ac:dyDescent="0.25">
      <c r="A352" s="171">
        <v>36</v>
      </c>
      <c r="B352" s="167">
        <v>26</v>
      </c>
      <c r="C352" s="22">
        <f>C351+1</f>
        <v>150</v>
      </c>
      <c r="D352" s="23" t="s">
        <v>239</v>
      </c>
      <c r="E352" s="163">
        <v>36</v>
      </c>
      <c r="F352" s="24" t="s">
        <v>125</v>
      </c>
      <c r="H352" s="20"/>
      <c r="I352" s="20"/>
      <c r="J352" s="20"/>
      <c r="K352" s="20"/>
      <c r="L352" s="20"/>
    </row>
    <row r="353" spans="1:6" ht="19.5" customHeight="1" x14ac:dyDescent="0.25">
      <c r="A353" s="171">
        <v>21</v>
      </c>
      <c r="B353" s="167">
        <v>26</v>
      </c>
      <c r="E353" s="239" t="s">
        <v>146</v>
      </c>
    </row>
    <row r="354" spans="1:6" ht="19.5" customHeight="1" x14ac:dyDescent="0.25">
      <c r="A354" s="171">
        <v>36</v>
      </c>
      <c r="B354" s="167">
        <v>26</v>
      </c>
      <c r="C354" s="22">
        <f>C352+1</f>
        <v>151</v>
      </c>
      <c r="D354" s="23" t="s">
        <v>9</v>
      </c>
      <c r="E354" s="162">
        <v>450</v>
      </c>
      <c r="F354" s="24" t="s">
        <v>147</v>
      </c>
    </row>
    <row r="355" spans="1:6" ht="19.5" customHeight="1" x14ac:dyDescent="0.25">
      <c r="A355" s="171">
        <v>36</v>
      </c>
      <c r="B355" s="171">
        <v>26</v>
      </c>
      <c r="C355" s="22">
        <f t="shared" ref="C355:C369" si="2">C354+1</f>
        <v>152</v>
      </c>
      <c r="D355" s="23" t="s">
        <v>10</v>
      </c>
      <c r="E355" s="162">
        <v>480</v>
      </c>
      <c r="F355" s="24" t="s">
        <v>147</v>
      </c>
    </row>
    <row r="356" spans="1:6" ht="19.5" customHeight="1" x14ac:dyDescent="0.25">
      <c r="A356" s="171">
        <v>36</v>
      </c>
      <c r="B356" s="171">
        <v>26</v>
      </c>
      <c r="C356" s="22">
        <f t="shared" si="2"/>
        <v>153</v>
      </c>
      <c r="D356" s="23" t="s">
        <v>11</v>
      </c>
      <c r="E356" s="162">
        <v>470</v>
      </c>
      <c r="F356" s="24" t="s">
        <v>147</v>
      </c>
    </row>
    <row r="357" spans="1:6" ht="19.5" customHeight="1" x14ac:dyDescent="0.25">
      <c r="A357" s="171">
        <v>36</v>
      </c>
      <c r="B357" s="171">
        <v>26</v>
      </c>
      <c r="C357" s="22">
        <f t="shared" si="2"/>
        <v>154</v>
      </c>
      <c r="D357" s="23" t="s">
        <v>44</v>
      </c>
      <c r="E357" s="162">
        <v>520</v>
      </c>
      <c r="F357" s="24" t="s">
        <v>147</v>
      </c>
    </row>
    <row r="358" spans="1:6" ht="19.5" customHeight="1" x14ac:dyDescent="0.25">
      <c r="A358" s="171">
        <v>36</v>
      </c>
      <c r="B358" s="171">
        <v>26</v>
      </c>
      <c r="C358" s="22">
        <f t="shared" si="2"/>
        <v>155</v>
      </c>
      <c r="D358" s="23" t="s">
        <v>45</v>
      </c>
      <c r="E358" s="162">
        <v>450</v>
      </c>
      <c r="F358" s="24" t="s">
        <v>147</v>
      </c>
    </row>
    <row r="359" spans="1:6" ht="19.5" customHeight="1" x14ac:dyDescent="0.25">
      <c r="A359" s="171">
        <v>36</v>
      </c>
      <c r="B359" s="171">
        <v>26</v>
      </c>
      <c r="C359" s="22">
        <f t="shared" si="2"/>
        <v>156</v>
      </c>
      <c r="D359" s="23" t="s">
        <v>46</v>
      </c>
      <c r="E359" s="162">
        <v>490</v>
      </c>
      <c r="F359" s="24" t="s">
        <v>147</v>
      </c>
    </row>
    <row r="360" spans="1:6" ht="19.5" customHeight="1" x14ac:dyDescent="0.25">
      <c r="A360" s="171">
        <v>36</v>
      </c>
      <c r="B360" s="171">
        <v>26</v>
      </c>
      <c r="C360" s="22">
        <f t="shared" si="2"/>
        <v>157</v>
      </c>
      <c r="D360" s="23" t="s">
        <v>47</v>
      </c>
      <c r="E360" s="162">
        <v>500</v>
      </c>
      <c r="F360" s="24" t="s">
        <v>147</v>
      </c>
    </row>
    <row r="361" spans="1:6" ht="19.5" customHeight="1" x14ac:dyDescent="0.25">
      <c r="A361" s="171">
        <v>36</v>
      </c>
      <c r="B361" s="171">
        <v>26</v>
      </c>
      <c r="C361" s="22">
        <f t="shared" si="2"/>
        <v>158</v>
      </c>
      <c r="D361" s="23" t="s">
        <v>48</v>
      </c>
      <c r="E361" s="162">
        <v>480</v>
      </c>
      <c r="F361" s="24" t="s">
        <v>147</v>
      </c>
    </row>
    <row r="362" spans="1:6" ht="19.5" customHeight="1" x14ac:dyDescent="0.25">
      <c r="A362" s="171">
        <v>36</v>
      </c>
      <c r="B362" s="171">
        <v>26</v>
      </c>
      <c r="C362" s="22">
        <f t="shared" si="2"/>
        <v>159</v>
      </c>
      <c r="D362" s="23" t="s">
        <v>49</v>
      </c>
      <c r="E362" s="162">
        <v>500</v>
      </c>
      <c r="F362" s="24" t="s">
        <v>147</v>
      </c>
    </row>
    <row r="363" spans="1:6" ht="19.5" customHeight="1" x14ac:dyDescent="0.25">
      <c r="A363" s="171">
        <v>36</v>
      </c>
      <c r="B363" s="171">
        <v>26</v>
      </c>
      <c r="C363" s="22">
        <f t="shared" si="2"/>
        <v>160</v>
      </c>
      <c r="D363" s="23" t="s">
        <v>50</v>
      </c>
      <c r="E363" s="162">
        <v>460</v>
      </c>
      <c r="F363" s="24" t="s">
        <v>147</v>
      </c>
    </row>
    <row r="364" spans="1:6" ht="19.5" customHeight="1" x14ac:dyDescent="0.25">
      <c r="A364" s="171">
        <v>36</v>
      </c>
      <c r="B364" s="171">
        <v>26</v>
      </c>
      <c r="C364" s="22">
        <f t="shared" si="2"/>
        <v>161</v>
      </c>
      <c r="D364" s="23" t="s">
        <v>51</v>
      </c>
      <c r="E364" s="163">
        <v>420</v>
      </c>
      <c r="F364" s="24" t="s">
        <v>147</v>
      </c>
    </row>
    <row r="365" spans="1:6" ht="19.5" customHeight="1" x14ac:dyDescent="0.25">
      <c r="A365" s="171">
        <v>36</v>
      </c>
      <c r="B365" s="171">
        <v>26</v>
      </c>
      <c r="C365" s="22">
        <f t="shared" si="2"/>
        <v>162</v>
      </c>
      <c r="D365" s="23" t="s">
        <v>52</v>
      </c>
      <c r="E365" s="163">
        <v>480</v>
      </c>
      <c r="F365" s="24" t="s">
        <v>147</v>
      </c>
    </row>
    <row r="366" spans="1:6" ht="19.5" customHeight="1" x14ac:dyDescent="0.25">
      <c r="A366" s="171">
        <v>36</v>
      </c>
      <c r="B366" s="171">
        <v>26</v>
      </c>
      <c r="C366" s="22">
        <f t="shared" si="2"/>
        <v>163</v>
      </c>
      <c r="D366" s="23" t="s">
        <v>53</v>
      </c>
      <c r="E366" s="162">
        <v>460</v>
      </c>
      <c r="F366" s="24" t="s">
        <v>147</v>
      </c>
    </row>
    <row r="367" spans="1:6" ht="19.5" customHeight="1" x14ac:dyDescent="0.25">
      <c r="A367" s="171">
        <v>36</v>
      </c>
      <c r="B367" s="171">
        <v>26</v>
      </c>
      <c r="C367" s="22">
        <f t="shared" si="2"/>
        <v>164</v>
      </c>
      <c r="D367" s="23" t="s">
        <v>54</v>
      </c>
      <c r="E367" s="162">
        <v>480</v>
      </c>
      <c r="F367" s="24" t="s">
        <v>147</v>
      </c>
    </row>
    <row r="368" spans="1:6" ht="19.5" customHeight="1" x14ac:dyDescent="0.25">
      <c r="A368" s="171">
        <v>36</v>
      </c>
      <c r="B368" s="171">
        <v>26</v>
      </c>
      <c r="C368" s="22">
        <f t="shared" si="2"/>
        <v>165</v>
      </c>
      <c r="D368" s="23" t="s">
        <v>55</v>
      </c>
      <c r="E368" s="162">
        <v>480</v>
      </c>
      <c r="F368" s="24" t="s">
        <v>147</v>
      </c>
    </row>
    <row r="369" spans="1:6" ht="19.5" customHeight="1" x14ac:dyDescent="0.25">
      <c r="A369" s="171">
        <v>36</v>
      </c>
      <c r="B369" s="171">
        <v>26</v>
      </c>
      <c r="C369" s="22">
        <f t="shared" si="2"/>
        <v>166</v>
      </c>
      <c r="D369" s="23" t="s">
        <v>56</v>
      </c>
      <c r="E369" s="162">
        <v>480</v>
      </c>
      <c r="F369" s="24" t="s">
        <v>147</v>
      </c>
    </row>
    <row r="370" spans="1:6" ht="7.5" customHeight="1" x14ac:dyDescent="0.25">
      <c r="A370" s="171">
        <v>10</v>
      </c>
      <c r="B370" s="171">
        <v>10</v>
      </c>
      <c r="D370" s="23"/>
    </row>
    <row r="371" spans="1:6" ht="19.5" customHeight="1" x14ac:dyDescent="0.25">
      <c r="A371" s="171">
        <v>1</v>
      </c>
      <c r="B371" s="171">
        <v>26</v>
      </c>
      <c r="D371" s="55" t="s">
        <v>220</v>
      </c>
      <c r="E371" s="240">
        <f>IF(ISERROR(AVERAGE(E354:E369)/E351),"",AVERAGE(E354:E369)/(1000*E351)*60)</f>
        <v>4.0714285714285712</v>
      </c>
      <c r="F371" s="24" t="s">
        <v>8</v>
      </c>
    </row>
    <row r="372" spans="1:6" ht="19.5" customHeight="1" x14ac:dyDescent="0.25">
      <c r="A372" s="171">
        <v>1</v>
      </c>
      <c r="B372" s="171">
        <v>26</v>
      </c>
      <c r="D372" s="55"/>
    </row>
    <row r="373" spans="1:6" ht="19.5" customHeight="1" x14ac:dyDescent="0.2">
      <c r="A373" s="171">
        <v>26</v>
      </c>
      <c r="B373" s="171">
        <v>26</v>
      </c>
      <c r="D373" s="388" t="s">
        <v>207</v>
      </c>
      <c r="E373" s="388"/>
      <c r="F373" s="388"/>
    </row>
    <row r="374" spans="1:6" ht="19.5" customHeight="1" x14ac:dyDescent="0.25">
      <c r="A374" s="171">
        <v>26</v>
      </c>
      <c r="B374" s="171">
        <v>26</v>
      </c>
      <c r="D374" s="379" t="s">
        <v>110</v>
      </c>
      <c r="E374" s="379"/>
    </row>
    <row r="375" spans="1:6" s="144" customFormat="1" ht="29.25" hidden="1" customHeight="1" x14ac:dyDescent="0.25">
      <c r="A375" s="173">
        <v>39</v>
      </c>
      <c r="B375" s="169">
        <v>1</v>
      </c>
      <c r="C375" s="112"/>
      <c r="D375" s="382" t="s">
        <v>442</v>
      </c>
      <c r="E375" s="382"/>
      <c r="F375" s="148"/>
    </row>
    <row r="376" spans="1:6" ht="19.5" customHeight="1" x14ac:dyDescent="0.25">
      <c r="A376" s="171">
        <v>34</v>
      </c>
      <c r="B376" s="167">
        <v>26</v>
      </c>
      <c r="C376" s="22">
        <f>C369+1</f>
        <v>167</v>
      </c>
      <c r="D376" s="23" t="s">
        <v>148</v>
      </c>
      <c r="E376" s="162">
        <v>5</v>
      </c>
      <c r="F376" s="24" t="s">
        <v>132</v>
      </c>
    </row>
    <row r="377" spans="1:6" ht="19.5" customHeight="1" x14ac:dyDescent="0.25">
      <c r="A377" s="171">
        <v>34</v>
      </c>
      <c r="B377" s="167">
        <v>26</v>
      </c>
      <c r="C377" s="22">
        <f>C376+1</f>
        <v>168</v>
      </c>
      <c r="D377" s="23" t="s">
        <v>239</v>
      </c>
      <c r="E377" s="163">
        <v>60</v>
      </c>
      <c r="F377" s="24" t="s">
        <v>125</v>
      </c>
    </row>
    <row r="378" spans="1:6" ht="15.75" customHeight="1" x14ac:dyDescent="0.25">
      <c r="A378" s="171">
        <v>21</v>
      </c>
      <c r="B378" s="167">
        <v>21</v>
      </c>
      <c r="E378" s="239" t="s">
        <v>146</v>
      </c>
    </row>
    <row r="379" spans="1:6" ht="19.5" customHeight="1" x14ac:dyDescent="0.25">
      <c r="A379" s="171">
        <v>33</v>
      </c>
      <c r="B379" s="167">
        <v>26</v>
      </c>
      <c r="C379" s="22">
        <f>C377+1</f>
        <v>169</v>
      </c>
      <c r="D379" s="23" t="s">
        <v>9</v>
      </c>
      <c r="E379" s="162">
        <v>305</v>
      </c>
      <c r="F379" s="24" t="s">
        <v>147</v>
      </c>
    </row>
    <row r="380" spans="1:6" ht="19.5" customHeight="1" x14ac:dyDescent="0.25">
      <c r="A380" s="171">
        <v>33</v>
      </c>
      <c r="B380" s="167">
        <v>26</v>
      </c>
      <c r="C380" s="22">
        <f t="shared" ref="C380:C406" si="3">C379+1</f>
        <v>170</v>
      </c>
      <c r="D380" s="23" t="s">
        <v>10</v>
      </c>
      <c r="E380" s="162">
        <v>320</v>
      </c>
      <c r="F380" s="24" t="s">
        <v>147</v>
      </c>
    </row>
    <row r="381" spans="1:6" ht="19.5" customHeight="1" x14ac:dyDescent="0.25">
      <c r="A381" s="171">
        <v>33</v>
      </c>
      <c r="B381" s="167">
        <v>26</v>
      </c>
      <c r="C381" s="22">
        <f t="shared" si="3"/>
        <v>171</v>
      </c>
      <c r="D381" s="23" t="s">
        <v>11</v>
      </c>
      <c r="E381" s="163">
        <v>305</v>
      </c>
      <c r="F381" s="24" t="s">
        <v>147</v>
      </c>
    </row>
    <row r="382" spans="1:6" ht="19.5" customHeight="1" x14ac:dyDescent="0.25">
      <c r="A382" s="171">
        <v>33</v>
      </c>
      <c r="B382" s="167">
        <v>26</v>
      </c>
      <c r="C382" s="22">
        <f t="shared" si="3"/>
        <v>172</v>
      </c>
      <c r="D382" s="23" t="s">
        <v>44</v>
      </c>
      <c r="E382" s="163">
        <v>275</v>
      </c>
      <c r="F382" s="24" t="s">
        <v>147</v>
      </c>
    </row>
    <row r="383" spans="1:6" ht="19.5" customHeight="1" x14ac:dyDescent="0.25">
      <c r="A383" s="171">
        <v>33</v>
      </c>
      <c r="B383" s="167">
        <v>26</v>
      </c>
      <c r="C383" s="22">
        <f t="shared" si="3"/>
        <v>173</v>
      </c>
      <c r="D383" s="23" t="s">
        <v>45</v>
      </c>
      <c r="E383" s="163">
        <v>355</v>
      </c>
      <c r="F383" s="24" t="s">
        <v>147</v>
      </c>
    </row>
    <row r="384" spans="1:6" ht="19.5" customHeight="1" x14ac:dyDescent="0.25">
      <c r="A384" s="171">
        <v>33</v>
      </c>
      <c r="B384" s="167">
        <v>26</v>
      </c>
      <c r="C384" s="22">
        <f t="shared" si="3"/>
        <v>174</v>
      </c>
      <c r="D384" s="23" t="s">
        <v>46</v>
      </c>
      <c r="E384" s="163">
        <v>315</v>
      </c>
      <c r="F384" s="24" t="s">
        <v>147</v>
      </c>
    </row>
    <row r="385" spans="1:6" ht="19.5" customHeight="1" x14ac:dyDescent="0.25">
      <c r="A385" s="171">
        <v>33</v>
      </c>
      <c r="B385" s="167">
        <v>26</v>
      </c>
      <c r="C385" s="22">
        <f t="shared" si="3"/>
        <v>175</v>
      </c>
      <c r="D385" s="23" t="s">
        <v>47</v>
      </c>
      <c r="E385" s="163">
        <v>325</v>
      </c>
      <c r="F385" s="24" t="s">
        <v>147</v>
      </c>
    </row>
    <row r="386" spans="1:6" ht="19.5" customHeight="1" x14ac:dyDescent="0.25">
      <c r="A386" s="171">
        <v>33</v>
      </c>
      <c r="B386" s="167">
        <v>26</v>
      </c>
      <c r="C386" s="22">
        <f t="shared" si="3"/>
        <v>176</v>
      </c>
      <c r="D386" s="23" t="s">
        <v>48</v>
      </c>
      <c r="E386" s="163">
        <v>320</v>
      </c>
      <c r="F386" s="24" t="s">
        <v>147</v>
      </c>
    </row>
    <row r="387" spans="1:6" ht="19.5" customHeight="1" x14ac:dyDescent="0.25">
      <c r="A387" s="171">
        <v>33</v>
      </c>
      <c r="B387" s="167">
        <v>26</v>
      </c>
      <c r="C387" s="22">
        <f t="shared" si="3"/>
        <v>177</v>
      </c>
      <c r="D387" s="23" t="s">
        <v>49</v>
      </c>
      <c r="E387" s="163">
        <v>315</v>
      </c>
      <c r="F387" s="24" t="s">
        <v>147</v>
      </c>
    </row>
    <row r="388" spans="1:6" ht="19.5" customHeight="1" x14ac:dyDescent="0.25">
      <c r="A388" s="171">
        <v>33</v>
      </c>
      <c r="B388" s="167">
        <v>26</v>
      </c>
      <c r="C388" s="22">
        <f t="shared" si="3"/>
        <v>178</v>
      </c>
      <c r="D388" s="23" t="s">
        <v>50</v>
      </c>
      <c r="E388" s="163">
        <v>315</v>
      </c>
      <c r="F388" s="24" t="s">
        <v>147</v>
      </c>
    </row>
    <row r="389" spans="1:6" ht="19.5" customHeight="1" x14ac:dyDescent="0.25">
      <c r="A389" s="171">
        <v>33</v>
      </c>
      <c r="B389" s="167">
        <v>26</v>
      </c>
      <c r="C389" s="22">
        <f t="shared" si="3"/>
        <v>179</v>
      </c>
      <c r="D389" s="23" t="s">
        <v>51</v>
      </c>
      <c r="E389" s="163">
        <v>310</v>
      </c>
      <c r="F389" s="24" t="s">
        <v>147</v>
      </c>
    </row>
    <row r="390" spans="1:6" ht="19.5" customHeight="1" x14ac:dyDescent="0.25">
      <c r="A390" s="171">
        <v>33</v>
      </c>
      <c r="B390" s="167">
        <v>26</v>
      </c>
      <c r="C390" s="22">
        <f t="shared" si="3"/>
        <v>180</v>
      </c>
      <c r="D390" s="23" t="s">
        <v>52</v>
      </c>
      <c r="E390" s="163">
        <v>305</v>
      </c>
      <c r="F390" s="24" t="s">
        <v>147</v>
      </c>
    </row>
    <row r="391" spans="1:6" ht="19.5" customHeight="1" x14ac:dyDescent="0.25">
      <c r="A391" s="171">
        <v>33</v>
      </c>
      <c r="B391" s="167">
        <v>26</v>
      </c>
      <c r="C391" s="22">
        <f t="shared" si="3"/>
        <v>181</v>
      </c>
      <c r="D391" s="23" t="s">
        <v>53</v>
      </c>
      <c r="E391" s="163">
        <v>330</v>
      </c>
      <c r="F391" s="24" t="s">
        <v>147</v>
      </c>
    </row>
    <row r="392" spans="1:6" ht="19.5" customHeight="1" x14ac:dyDescent="0.25">
      <c r="A392" s="171">
        <v>33</v>
      </c>
      <c r="B392" s="167">
        <v>26</v>
      </c>
      <c r="C392" s="22">
        <f t="shared" si="3"/>
        <v>182</v>
      </c>
      <c r="D392" s="23" t="s">
        <v>54</v>
      </c>
      <c r="E392" s="163">
        <v>305</v>
      </c>
      <c r="F392" s="24" t="s">
        <v>147</v>
      </c>
    </row>
    <row r="393" spans="1:6" ht="19.5" customHeight="1" x14ac:dyDescent="0.25">
      <c r="A393" s="171">
        <v>33</v>
      </c>
      <c r="B393" s="167">
        <v>26</v>
      </c>
      <c r="C393" s="22">
        <f t="shared" si="3"/>
        <v>183</v>
      </c>
      <c r="D393" s="23" t="s">
        <v>55</v>
      </c>
      <c r="E393" s="163">
        <v>330</v>
      </c>
      <c r="F393" s="24" t="s">
        <v>147</v>
      </c>
    </row>
    <row r="394" spans="1:6" ht="19.5" customHeight="1" x14ac:dyDescent="0.25">
      <c r="A394" s="171">
        <v>33</v>
      </c>
      <c r="B394" s="167">
        <v>26</v>
      </c>
      <c r="C394" s="22">
        <f t="shared" si="3"/>
        <v>184</v>
      </c>
      <c r="D394" s="23" t="s">
        <v>56</v>
      </c>
      <c r="E394" s="163">
        <v>330</v>
      </c>
      <c r="F394" s="24" t="s">
        <v>147</v>
      </c>
    </row>
    <row r="395" spans="1:6" ht="19.5" customHeight="1" x14ac:dyDescent="0.25">
      <c r="A395" s="171">
        <v>33</v>
      </c>
      <c r="B395" s="167">
        <v>26</v>
      </c>
      <c r="C395" s="22">
        <f t="shared" si="3"/>
        <v>185</v>
      </c>
      <c r="D395" s="23" t="s">
        <v>75</v>
      </c>
      <c r="E395" s="163">
        <v>305</v>
      </c>
      <c r="F395" s="24" t="s">
        <v>147</v>
      </c>
    </row>
    <row r="396" spans="1:6" ht="19.5" customHeight="1" x14ac:dyDescent="0.25">
      <c r="A396" s="171">
        <v>33</v>
      </c>
      <c r="B396" s="167">
        <v>26</v>
      </c>
      <c r="C396" s="22">
        <f t="shared" si="3"/>
        <v>186</v>
      </c>
      <c r="D396" s="23" t="s">
        <v>76</v>
      </c>
      <c r="E396" s="163">
        <v>315</v>
      </c>
      <c r="F396" s="24" t="s">
        <v>147</v>
      </c>
    </row>
    <row r="397" spans="1:6" ht="19.5" customHeight="1" x14ac:dyDescent="0.25">
      <c r="A397" s="171">
        <v>33</v>
      </c>
      <c r="B397" s="167">
        <v>26</v>
      </c>
      <c r="C397" s="22">
        <f t="shared" si="3"/>
        <v>187</v>
      </c>
      <c r="D397" s="23" t="s">
        <v>77</v>
      </c>
      <c r="E397" s="163">
        <v>335</v>
      </c>
      <c r="F397" s="24" t="s">
        <v>147</v>
      </c>
    </row>
    <row r="398" spans="1:6" ht="19.5" customHeight="1" x14ac:dyDescent="0.25">
      <c r="A398" s="171">
        <v>33</v>
      </c>
      <c r="B398" s="167">
        <v>26</v>
      </c>
      <c r="C398" s="22">
        <f t="shared" si="3"/>
        <v>188</v>
      </c>
      <c r="D398" s="23" t="s">
        <v>78</v>
      </c>
      <c r="E398" s="163">
        <v>320</v>
      </c>
      <c r="F398" s="24" t="s">
        <v>147</v>
      </c>
    </row>
    <row r="399" spans="1:6" ht="19.5" customHeight="1" x14ac:dyDescent="0.25">
      <c r="A399" s="171">
        <v>33</v>
      </c>
      <c r="B399" s="167">
        <v>26</v>
      </c>
      <c r="C399" s="22">
        <f t="shared" si="3"/>
        <v>189</v>
      </c>
      <c r="D399" s="23" t="s">
        <v>79</v>
      </c>
      <c r="E399" s="163">
        <v>340</v>
      </c>
      <c r="F399" s="24" t="s">
        <v>147</v>
      </c>
    </row>
    <row r="400" spans="1:6" ht="19.5" customHeight="1" x14ac:dyDescent="0.25">
      <c r="A400" s="171">
        <v>33</v>
      </c>
      <c r="B400" s="167">
        <v>26</v>
      </c>
      <c r="C400" s="22">
        <f t="shared" si="3"/>
        <v>190</v>
      </c>
      <c r="D400" s="23" t="s">
        <v>80</v>
      </c>
      <c r="E400" s="163">
        <v>335</v>
      </c>
      <c r="F400" s="24" t="s">
        <v>147</v>
      </c>
    </row>
    <row r="401" spans="1:6" ht="19.5" customHeight="1" x14ac:dyDescent="0.25">
      <c r="A401" s="171">
        <v>33</v>
      </c>
      <c r="B401" s="167">
        <v>26</v>
      </c>
      <c r="C401" s="22">
        <f t="shared" si="3"/>
        <v>191</v>
      </c>
      <c r="D401" s="23" t="s">
        <v>81</v>
      </c>
      <c r="E401" s="163">
        <v>345</v>
      </c>
      <c r="F401" s="24" t="s">
        <v>147</v>
      </c>
    </row>
    <row r="402" spans="1:6" ht="19.5" customHeight="1" x14ac:dyDescent="0.25">
      <c r="A402" s="171">
        <v>33</v>
      </c>
      <c r="B402" s="167">
        <v>26</v>
      </c>
      <c r="C402" s="22">
        <f t="shared" si="3"/>
        <v>192</v>
      </c>
      <c r="D402" s="23" t="s">
        <v>82</v>
      </c>
      <c r="E402" s="163">
        <v>325</v>
      </c>
      <c r="F402" s="24" t="s">
        <v>147</v>
      </c>
    </row>
    <row r="403" spans="1:6" ht="19.5" customHeight="1" x14ac:dyDescent="0.25">
      <c r="A403" s="171">
        <v>33</v>
      </c>
      <c r="B403" s="167">
        <v>26</v>
      </c>
      <c r="C403" s="22">
        <f t="shared" si="3"/>
        <v>193</v>
      </c>
      <c r="D403" s="23" t="s">
        <v>83</v>
      </c>
      <c r="E403" s="163">
        <v>330</v>
      </c>
      <c r="F403" s="24" t="s">
        <v>147</v>
      </c>
    </row>
    <row r="404" spans="1:6" ht="19.5" customHeight="1" x14ac:dyDescent="0.25">
      <c r="A404" s="171">
        <v>33</v>
      </c>
      <c r="B404" s="167">
        <v>26</v>
      </c>
      <c r="C404" s="22">
        <f t="shared" si="3"/>
        <v>194</v>
      </c>
      <c r="D404" s="23" t="s">
        <v>84</v>
      </c>
      <c r="E404" s="163">
        <v>320</v>
      </c>
      <c r="F404" s="24" t="s">
        <v>147</v>
      </c>
    </row>
    <row r="405" spans="1:6" ht="19.5" customHeight="1" x14ac:dyDescent="0.25">
      <c r="A405" s="171">
        <v>33</v>
      </c>
      <c r="B405" s="167">
        <v>26</v>
      </c>
      <c r="C405" s="22">
        <f t="shared" si="3"/>
        <v>195</v>
      </c>
      <c r="D405" s="23" t="s">
        <v>85</v>
      </c>
      <c r="E405" s="163">
        <v>345</v>
      </c>
      <c r="F405" s="24" t="s">
        <v>147</v>
      </c>
    </row>
    <row r="406" spans="1:6" ht="19.5" customHeight="1" x14ac:dyDescent="0.25">
      <c r="A406" s="171">
        <v>33</v>
      </c>
      <c r="B406" s="167">
        <v>26</v>
      </c>
      <c r="C406" s="22">
        <f t="shared" si="3"/>
        <v>196</v>
      </c>
      <c r="D406" s="23" t="s">
        <v>86</v>
      </c>
      <c r="E406" s="163">
        <v>320</v>
      </c>
      <c r="F406" s="24" t="s">
        <v>147</v>
      </c>
    </row>
    <row r="407" spans="1:6" ht="10.5" customHeight="1" x14ac:dyDescent="0.25">
      <c r="A407" s="171">
        <v>10</v>
      </c>
      <c r="B407" s="167">
        <v>14</v>
      </c>
    </row>
    <row r="408" spans="1:6" ht="19.5" customHeight="1" x14ac:dyDescent="0.25">
      <c r="A408" s="171">
        <v>24</v>
      </c>
      <c r="B408" s="167">
        <v>26</v>
      </c>
      <c r="C408" s="373" t="s">
        <v>5</v>
      </c>
      <c r="D408" s="373"/>
    </row>
    <row r="409" spans="1:6" ht="30" customHeight="1" x14ac:dyDescent="0.25">
      <c r="A409" s="171">
        <v>40</v>
      </c>
      <c r="B409" s="167">
        <v>40</v>
      </c>
      <c r="D409" s="380" t="s">
        <v>205</v>
      </c>
      <c r="E409" s="380"/>
    </row>
    <row r="410" spans="1:6" ht="44.25" customHeight="1" x14ac:dyDescent="0.25">
      <c r="A410" s="171">
        <v>59</v>
      </c>
      <c r="B410" s="167">
        <v>59</v>
      </c>
      <c r="D410" s="380" t="s">
        <v>228</v>
      </c>
      <c r="E410" s="380"/>
    </row>
    <row r="411" spans="1:6" ht="19.5" customHeight="1" x14ac:dyDescent="0.25">
      <c r="A411" s="171">
        <v>10</v>
      </c>
      <c r="B411" s="167">
        <v>26</v>
      </c>
      <c r="D411" s="56"/>
      <c r="E411" s="237"/>
    </row>
    <row r="412" spans="1:6" ht="19.5" customHeight="1" x14ac:dyDescent="0.25">
      <c r="A412" s="171">
        <v>26</v>
      </c>
      <c r="B412" s="167">
        <v>26</v>
      </c>
      <c r="D412" s="57" t="s">
        <v>89</v>
      </c>
    </row>
    <row r="413" spans="1:6" ht="19.5" customHeight="1" x14ac:dyDescent="0.25">
      <c r="A413" s="171">
        <v>36</v>
      </c>
      <c r="B413" s="167">
        <v>26</v>
      </c>
      <c r="C413" s="22">
        <f>C406+1</f>
        <v>197</v>
      </c>
      <c r="D413" s="23" t="s">
        <v>145</v>
      </c>
      <c r="E413" s="162">
        <v>23.5</v>
      </c>
      <c r="F413" s="24" t="s">
        <v>144</v>
      </c>
    </row>
    <row r="414" spans="1:6" ht="19.5" customHeight="1" x14ac:dyDescent="0.25">
      <c r="A414" s="171">
        <v>36</v>
      </c>
      <c r="B414" s="167">
        <v>26</v>
      </c>
      <c r="C414" s="22">
        <f>C413+1</f>
        <v>198</v>
      </c>
      <c r="D414" s="23" t="s">
        <v>161</v>
      </c>
      <c r="E414" s="164">
        <v>800</v>
      </c>
      <c r="F414" s="24" t="s">
        <v>196</v>
      </c>
    </row>
    <row r="415" spans="1:6" ht="18" hidden="1" customHeight="1" x14ac:dyDescent="0.25">
      <c r="A415" s="171">
        <v>24</v>
      </c>
      <c r="B415" s="167">
        <v>1</v>
      </c>
      <c r="D415" s="374" t="s">
        <v>112</v>
      </c>
      <c r="E415" s="374"/>
    </row>
    <row r="416" spans="1:6" ht="19.5" customHeight="1" x14ac:dyDescent="0.25">
      <c r="A416" s="171">
        <v>36</v>
      </c>
      <c r="B416" s="167">
        <v>26</v>
      </c>
      <c r="C416" s="22">
        <f>C414+1</f>
        <v>199</v>
      </c>
      <c r="D416" s="23" t="s">
        <v>190</v>
      </c>
      <c r="E416" s="164">
        <v>8</v>
      </c>
    </row>
    <row r="417" spans="1:7" ht="38.25" hidden="1" customHeight="1" x14ac:dyDescent="0.25">
      <c r="A417" s="171">
        <v>51</v>
      </c>
      <c r="B417" s="167">
        <v>1</v>
      </c>
      <c r="D417" s="370" t="s">
        <v>208</v>
      </c>
      <c r="E417" s="370"/>
    </row>
    <row r="418" spans="1:7" ht="19.5" customHeight="1" x14ac:dyDescent="0.3">
      <c r="A418" s="171">
        <v>1</v>
      </c>
      <c r="B418" s="167">
        <v>26</v>
      </c>
      <c r="D418" s="160" t="s">
        <v>227</v>
      </c>
      <c r="E418" s="165">
        <f>IF((E371=""),"Fill out flow tests first",IF(G418=1,E371,E371/3.78541178))</f>
        <v>4.0714285714285712</v>
      </c>
      <c r="F418" s="149"/>
      <c r="G418" s="64">
        <v>1</v>
      </c>
    </row>
    <row r="419" spans="1:7" ht="18" customHeight="1" x14ac:dyDescent="0.25">
      <c r="A419" s="171">
        <v>26</v>
      </c>
      <c r="B419" s="167">
        <v>24</v>
      </c>
      <c r="C419" s="22">
        <f>C416+1</f>
        <v>200</v>
      </c>
      <c r="D419" s="23" t="s">
        <v>102</v>
      </c>
      <c r="E419" s="69">
        <v>1</v>
      </c>
      <c r="G419" s="64">
        <v>3</v>
      </c>
    </row>
    <row r="420" spans="1:7" ht="19.5" hidden="1" customHeight="1" x14ac:dyDescent="0.25">
      <c r="A420" s="171">
        <v>26</v>
      </c>
      <c r="B420" s="167">
        <v>1</v>
      </c>
      <c r="E420" s="228" t="str">
        <f>'Lists-Hidden'!D3</f>
        <v>Yes</v>
      </c>
    </row>
    <row r="421" spans="1:7" ht="19.5" hidden="1" customHeight="1" x14ac:dyDescent="0.25">
      <c r="A421" s="171">
        <v>26</v>
      </c>
      <c r="B421" s="167">
        <v>1</v>
      </c>
      <c r="E421" s="230" t="str">
        <f>'Lists-Hidden'!D4</f>
        <v>No</v>
      </c>
    </row>
    <row r="422" spans="1:7" ht="30" hidden="1" customHeight="1" x14ac:dyDescent="0.25">
      <c r="A422" s="171">
        <v>40</v>
      </c>
      <c r="B422" s="167">
        <v>1</v>
      </c>
      <c r="D422" s="370" t="s">
        <v>209</v>
      </c>
      <c r="E422" s="370"/>
    </row>
    <row r="423" spans="1:7" ht="18" customHeight="1" x14ac:dyDescent="0.25">
      <c r="A423" s="171">
        <v>24</v>
      </c>
      <c r="B423" s="167">
        <v>24</v>
      </c>
      <c r="D423" s="376" t="s">
        <v>447</v>
      </c>
      <c r="E423" s="376"/>
    </row>
    <row r="424" spans="1:7" s="79" customFormat="1" ht="19.5" customHeight="1" x14ac:dyDescent="0.25">
      <c r="A424" s="171">
        <v>36</v>
      </c>
      <c r="B424" s="167">
        <v>26</v>
      </c>
      <c r="C424" s="22">
        <f>C419+1</f>
        <v>201</v>
      </c>
      <c r="D424" s="174" t="s">
        <v>450</v>
      </c>
      <c r="E424" s="241"/>
      <c r="F424" s="24"/>
      <c r="G424" s="64"/>
    </row>
    <row r="425" spans="1:7" s="150" customFormat="1" ht="30" hidden="1" customHeight="1" x14ac:dyDescent="0.25">
      <c r="A425" s="171">
        <v>40</v>
      </c>
      <c r="B425" s="167">
        <v>1</v>
      </c>
      <c r="C425" s="22"/>
      <c r="D425" s="377" t="s">
        <v>449</v>
      </c>
      <c r="E425" s="377"/>
      <c r="F425" s="24"/>
      <c r="G425" s="64"/>
    </row>
    <row r="426" spans="1:7" s="150" customFormat="1" ht="18" customHeight="1" x14ac:dyDescent="0.25">
      <c r="A426" s="171">
        <v>24</v>
      </c>
      <c r="B426" s="167">
        <v>24</v>
      </c>
      <c r="C426" s="22">
        <f>C424+1</f>
        <v>202</v>
      </c>
      <c r="D426" s="170" t="s">
        <v>448</v>
      </c>
      <c r="E426" s="242"/>
      <c r="F426" s="24"/>
      <c r="G426" s="64">
        <v>1</v>
      </c>
    </row>
    <row r="427" spans="1:7" s="153" customFormat="1" ht="18" hidden="1" customHeight="1" x14ac:dyDescent="0.25">
      <c r="A427" s="171">
        <v>24</v>
      </c>
      <c r="B427" s="167">
        <v>1</v>
      </c>
      <c r="C427" s="22"/>
      <c r="D427" s="82"/>
      <c r="E427" s="243" t="s">
        <v>57</v>
      </c>
      <c r="F427" s="24"/>
      <c r="G427" s="64"/>
    </row>
    <row r="428" spans="1:7" s="153" customFormat="1" ht="18" hidden="1" customHeight="1" x14ac:dyDescent="0.25">
      <c r="A428" s="171">
        <v>24</v>
      </c>
      <c r="B428" s="167">
        <v>1</v>
      </c>
      <c r="C428" s="22"/>
      <c r="D428" s="82"/>
      <c r="E428" s="243" t="s">
        <v>8</v>
      </c>
      <c r="F428" s="24"/>
      <c r="G428" s="64"/>
    </row>
    <row r="429" spans="1:7" s="153" customFormat="1" ht="18" hidden="1" customHeight="1" x14ac:dyDescent="0.25">
      <c r="A429" s="171">
        <v>24</v>
      </c>
      <c r="B429" s="167">
        <v>1</v>
      </c>
      <c r="C429" s="22"/>
      <c r="D429" s="82"/>
      <c r="E429" s="244" t="s">
        <v>453</v>
      </c>
      <c r="F429" s="24"/>
      <c r="G429" s="64"/>
    </row>
    <row r="430" spans="1:7" s="150" customFormat="1" ht="12" customHeight="1" x14ac:dyDescent="0.25">
      <c r="A430" s="171">
        <v>14</v>
      </c>
      <c r="B430" s="167">
        <v>16</v>
      </c>
      <c r="C430" s="22"/>
      <c r="D430" s="170"/>
      <c r="E430" s="245"/>
      <c r="F430" s="24"/>
      <c r="G430" s="64"/>
    </row>
    <row r="431" spans="1:7" ht="19.5" customHeight="1" x14ac:dyDescent="0.25">
      <c r="A431" s="171">
        <v>36</v>
      </c>
      <c r="B431" s="167">
        <v>26</v>
      </c>
      <c r="C431" s="22">
        <f>C426+1</f>
        <v>203</v>
      </c>
      <c r="D431" s="23" t="s">
        <v>160</v>
      </c>
      <c r="E431" s="162">
        <v>15</v>
      </c>
      <c r="F431" s="24" t="s">
        <v>196</v>
      </c>
    </row>
    <row r="432" spans="1:7" ht="19.5" customHeight="1" x14ac:dyDescent="0.25">
      <c r="A432" s="171">
        <v>36</v>
      </c>
      <c r="B432" s="167">
        <v>26</v>
      </c>
      <c r="C432" s="22">
        <f>C431+1</f>
        <v>204</v>
      </c>
      <c r="D432" s="23" t="s">
        <v>159</v>
      </c>
      <c r="E432" s="164">
        <v>8.5</v>
      </c>
      <c r="F432" s="24" t="s">
        <v>157</v>
      </c>
    </row>
    <row r="433" spans="1:7" ht="18" hidden="1" customHeight="1" x14ac:dyDescent="0.25">
      <c r="A433" s="171">
        <v>24</v>
      </c>
      <c r="B433" s="167">
        <v>1</v>
      </c>
      <c r="D433" s="374" t="s">
        <v>113</v>
      </c>
      <c r="E433" s="374"/>
    </row>
    <row r="434" spans="1:7" ht="19.5" customHeight="1" x14ac:dyDescent="0.25">
      <c r="A434" s="171">
        <v>36</v>
      </c>
      <c r="B434" s="167">
        <v>26</v>
      </c>
      <c r="C434" s="22">
        <f>C432+1</f>
        <v>205</v>
      </c>
      <c r="D434" s="23" t="s">
        <v>156</v>
      </c>
      <c r="E434" s="162">
        <v>8</v>
      </c>
      <c r="F434" s="24" t="s">
        <v>151</v>
      </c>
    </row>
    <row r="435" spans="1:7" ht="19.5" customHeight="1" x14ac:dyDescent="0.25">
      <c r="A435" s="171">
        <v>36</v>
      </c>
      <c r="B435" s="167">
        <v>26</v>
      </c>
      <c r="C435" s="22">
        <f>C434+1</f>
        <v>206</v>
      </c>
      <c r="D435" s="23" t="s">
        <v>155</v>
      </c>
      <c r="E435" s="164">
        <v>7</v>
      </c>
      <c r="F435" s="24" t="s">
        <v>152</v>
      </c>
    </row>
    <row r="436" spans="1:7" ht="18" hidden="1" customHeight="1" x14ac:dyDescent="0.25">
      <c r="A436" s="171">
        <v>24</v>
      </c>
      <c r="B436" s="167">
        <v>1</v>
      </c>
      <c r="D436" s="374" t="s">
        <v>114</v>
      </c>
      <c r="E436" s="374"/>
    </row>
    <row r="437" spans="1:7" ht="19.5" customHeight="1" x14ac:dyDescent="0.25">
      <c r="A437" s="171">
        <v>36</v>
      </c>
      <c r="B437" s="167">
        <v>26</v>
      </c>
      <c r="C437" s="22">
        <f>C435+1</f>
        <v>207</v>
      </c>
      <c r="D437" s="23" t="s">
        <v>154</v>
      </c>
      <c r="E437" s="162">
        <v>0.2</v>
      </c>
      <c r="F437" s="24" t="s">
        <v>153</v>
      </c>
    </row>
    <row r="438" spans="1:7" ht="18" customHeight="1" x14ac:dyDescent="0.25">
      <c r="A438" s="171">
        <v>16</v>
      </c>
      <c r="B438" s="167">
        <v>24</v>
      </c>
    </row>
    <row r="439" spans="1:7" ht="19.5" customHeight="1" x14ac:dyDescent="0.25">
      <c r="A439" s="171">
        <v>26</v>
      </c>
      <c r="B439" s="167">
        <v>26</v>
      </c>
      <c r="D439" s="57" t="s">
        <v>90</v>
      </c>
    </row>
    <row r="440" spans="1:7" ht="19.5" customHeight="1" x14ac:dyDescent="0.25">
      <c r="A440" s="171">
        <v>36</v>
      </c>
      <c r="B440" s="167">
        <v>26</v>
      </c>
      <c r="C440" s="22">
        <f>C437+1</f>
        <v>208</v>
      </c>
      <c r="D440" s="23" t="s">
        <v>145</v>
      </c>
      <c r="E440" s="162"/>
      <c r="F440" s="24" t="s">
        <v>144</v>
      </c>
    </row>
    <row r="441" spans="1:7" ht="19.5" customHeight="1" x14ac:dyDescent="0.25">
      <c r="A441" s="171">
        <v>36</v>
      </c>
      <c r="B441" s="167">
        <v>26</v>
      </c>
      <c r="C441" s="22">
        <f>C440+1</f>
        <v>209</v>
      </c>
      <c r="D441" s="23" t="s">
        <v>161</v>
      </c>
      <c r="E441" s="164"/>
      <c r="F441" s="24" t="s">
        <v>196</v>
      </c>
    </row>
    <row r="442" spans="1:7" ht="18" hidden="1" customHeight="1" x14ac:dyDescent="0.25">
      <c r="A442" s="171">
        <v>24</v>
      </c>
      <c r="B442" s="167">
        <v>1</v>
      </c>
      <c r="D442" s="374" t="s">
        <v>112</v>
      </c>
      <c r="E442" s="374"/>
      <c r="F442" s="26"/>
    </row>
    <row r="443" spans="1:7" ht="19.5" customHeight="1" x14ac:dyDescent="0.25">
      <c r="A443" s="171">
        <v>36</v>
      </c>
      <c r="B443" s="167">
        <v>26</v>
      </c>
      <c r="C443" s="22">
        <f>C441+1</f>
        <v>210</v>
      </c>
      <c r="D443" s="23" t="s">
        <v>190</v>
      </c>
      <c r="E443" s="164"/>
    </row>
    <row r="444" spans="1:7" ht="30" hidden="1" customHeight="1" x14ac:dyDescent="0.25">
      <c r="A444" s="171">
        <v>40</v>
      </c>
      <c r="B444" s="167">
        <v>1</v>
      </c>
      <c r="D444" s="370" t="s">
        <v>210</v>
      </c>
      <c r="E444" s="370"/>
    </row>
    <row r="445" spans="1:7" ht="18" customHeight="1" x14ac:dyDescent="0.3">
      <c r="A445" s="171">
        <v>1</v>
      </c>
      <c r="B445" s="167">
        <v>24</v>
      </c>
      <c r="D445" s="160" t="s">
        <v>227</v>
      </c>
      <c r="E445" s="165">
        <f>IF((E371=""),"Fill out flow tests first",IF(G445=1,E371,E371/3.78541178))</f>
        <v>4.0714285714285712</v>
      </c>
      <c r="F445" s="149"/>
      <c r="G445" s="64">
        <v>1</v>
      </c>
    </row>
    <row r="446" spans="1:7" ht="18" customHeight="1" x14ac:dyDescent="0.25">
      <c r="A446" s="171">
        <v>24</v>
      </c>
      <c r="B446" s="167">
        <v>24</v>
      </c>
      <c r="C446" s="22">
        <f>C443+1</f>
        <v>211</v>
      </c>
      <c r="D446" s="23" t="s">
        <v>102</v>
      </c>
      <c r="E446" s="69">
        <v>1</v>
      </c>
      <c r="G446" s="64">
        <v>1</v>
      </c>
    </row>
    <row r="447" spans="1:7" ht="19.5" hidden="1" customHeight="1" x14ac:dyDescent="0.25">
      <c r="A447" s="171">
        <v>26</v>
      </c>
      <c r="B447" s="167">
        <v>1</v>
      </c>
      <c r="E447" s="228" t="str">
        <f>'Lists-Hidden'!D3</f>
        <v>Yes</v>
      </c>
    </row>
    <row r="448" spans="1:7" ht="19.5" hidden="1" customHeight="1" x14ac:dyDescent="0.25">
      <c r="A448" s="171">
        <v>26</v>
      </c>
      <c r="B448" s="167">
        <v>1</v>
      </c>
      <c r="E448" s="230" t="str">
        <f>'Lists-Hidden'!D4</f>
        <v>No</v>
      </c>
    </row>
    <row r="449" spans="1:7" ht="30" hidden="1" customHeight="1" x14ac:dyDescent="0.25">
      <c r="A449" s="171">
        <v>40</v>
      </c>
      <c r="B449" s="167">
        <v>1</v>
      </c>
      <c r="D449" s="370" t="s">
        <v>211</v>
      </c>
      <c r="E449" s="370"/>
    </row>
    <row r="450" spans="1:7" ht="18" customHeight="1" x14ac:dyDescent="0.25">
      <c r="A450" s="171">
        <v>24</v>
      </c>
      <c r="B450" s="167">
        <v>24</v>
      </c>
      <c r="D450" s="376" t="s">
        <v>447</v>
      </c>
      <c r="E450" s="376"/>
    </row>
    <row r="451" spans="1:7" s="79" customFormat="1" ht="19.5" customHeight="1" x14ac:dyDescent="0.25">
      <c r="A451" s="171">
        <v>36</v>
      </c>
      <c r="B451" s="167">
        <v>26</v>
      </c>
      <c r="C451" s="22">
        <f>C446+1</f>
        <v>212</v>
      </c>
      <c r="D451" s="174" t="s">
        <v>450</v>
      </c>
      <c r="E451" s="162"/>
      <c r="F451" s="24"/>
      <c r="G451" s="64"/>
    </row>
    <row r="452" spans="1:7" s="152" customFormat="1" ht="30" hidden="1" customHeight="1" x14ac:dyDescent="0.25">
      <c r="A452" s="171">
        <v>40</v>
      </c>
      <c r="B452" s="167">
        <v>1</v>
      </c>
      <c r="C452" s="22"/>
      <c r="D452" s="377" t="s">
        <v>449</v>
      </c>
      <c r="E452" s="377"/>
      <c r="F452" s="24"/>
      <c r="G452" s="64"/>
    </row>
    <row r="453" spans="1:7" s="152" customFormat="1" ht="18" customHeight="1" x14ac:dyDescent="0.25">
      <c r="A453" s="171">
        <v>24</v>
      </c>
      <c r="B453" s="167">
        <v>24</v>
      </c>
      <c r="C453" s="22">
        <f>C451+1</f>
        <v>213</v>
      </c>
      <c r="D453" s="170" t="s">
        <v>448</v>
      </c>
      <c r="E453" s="242"/>
      <c r="F453" s="24"/>
      <c r="G453" s="64">
        <v>1</v>
      </c>
    </row>
    <row r="454" spans="1:7" s="153" customFormat="1" ht="19.5" hidden="1" customHeight="1" x14ac:dyDescent="0.25">
      <c r="A454" s="171">
        <v>26</v>
      </c>
      <c r="B454" s="167">
        <v>1</v>
      </c>
      <c r="C454" s="22"/>
      <c r="D454" s="82"/>
      <c r="E454" s="243" t="s">
        <v>57</v>
      </c>
      <c r="F454" s="24"/>
      <c r="G454" s="64"/>
    </row>
    <row r="455" spans="1:7" s="153" customFormat="1" ht="19.5" hidden="1" customHeight="1" x14ac:dyDescent="0.25">
      <c r="A455" s="171">
        <v>26</v>
      </c>
      <c r="B455" s="167">
        <v>1</v>
      </c>
      <c r="C455" s="22"/>
      <c r="D455" s="82"/>
      <c r="E455" s="243" t="s">
        <v>8</v>
      </c>
      <c r="F455" s="24"/>
      <c r="G455" s="64"/>
    </row>
    <row r="456" spans="1:7" s="153" customFormat="1" ht="19.5" hidden="1" customHeight="1" x14ac:dyDescent="0.25">
      <c r="A456" s="171">
        <v>26</v>
      </c>
      <c r="B456" s="167">
        <v>1</v>
      </c>
      <c r="C456" s="22"/>
      <c r="D456" s="82"/>
      <c r="E456" s="244" t="s">
        <v>453</v>
      </c>
      <c r="F456" s="24"/>
      <c r="G456" s="64"/>
    </row>
    <row r="457" spans="1:7" s="153" customFormat="1" ht="12" customHeight="1" x14ac:dyDescent="0.25">
      <c r="A457" s="171">
        <v>26</v>
      </c>
      <c r="B457" s="167">
        <v>16</v>
      </c>
      <c r="C457" s="22"/>
      <c r="D457" s="170"/>
      <c r="E457" s="245"/>
      <c r="F457" s="24"/>
      <c r="G457" s="64"/>
    </row>
    <row r="458" spans="1:7" ht="19.5" customHeight="1" x14ac:dyDescent="0.25">
      <c r="A458" s="171">
        <v>36</v>
      </c>
      <c r="B458" s="167">
        <v>26</v>
      </c>
      <c r="C458" s="22">
        <f>C453+1</f>
        <v>214</v>
      </c>
      <c r="D458" s="27" t="s">
        <v>160</v>
      </c>
      <c r="E458" s="162"/>
      <c r="F458" s="24" t="s">
        <v>196</v>
      </c>
    </row>
    <row r="459" spans="1:7" ht="19.5" customHeight="1" x14ac:dyDescent="0.25">
      <c r="A459" s="171">
        <v>36</v>
      </c>
      <c r="B459" s="167">
        <v>26</v>
      </c>
      <c r="C459" s="22">
        <f>C458+1</f>
        <v>215</v>
      </c>
      <c r="D459" s="23" t="s">
        <v>159</v>
      </c>
      <c r="E459" s="246"/>
      <c r="F459" s="24" t="s">
        <v>157</v>
      </c>
    </row>
    <row r="460" spans="1:7" ht="18" hidden="1" customHeight="1" x14ac:dyDescent="0.25">
      <c r="A460" s="171">
        <v>24</v>
      </c>
      <c r="B460" s="167">
        <v>1</v>
      </c>
      <c r="D460" s="374" t="s">
        <v>113</v>
      </c>
      <c r="E460" s="374"/>
    </row>
    <row r="461" spans="1:7" ht="19.5" customHeight="1" x14ac:dyDescent="0.25">
      <c r="A461" s="171">
        <v>36</v>
      </c>
      <c r="B461" s="167">
        <v>26</v>
      </c>
      <c r="C461" s="22">
        <f>C459+1</f>
        <v>216</v>
      </c>
      <c r="D461" s="23" t="s">
        <v>156</v>
      </c>
      <c r="E461" s="162"/>
      <c r="F461" s="24" t="s">
        <v>151</v>
      </c>
    </row>
    <row r="462" spans="1:7" ht="19.5" customHeight="1" x14ac:dyDescent="0.25">
      <c r="A462" s="171">
        <v>36</v>
      </c>
      <c r="B462" s="167">
        <v>26</v>
      </c>
      <c r="C462" s="22">
        <f>C461+1</f>
        <v>217</v>
      </c>
      <c r="D462" s="23" t="s">
        <v>155</v>
      </c>
      <c r="E462" s="246"/>
      <c r="F462" s="24" t="s">
        <v>152</v>
      </c>
    </row>
    <row r="463" spans="1:7" ht="18" hidden="1" customHeight="1" x14ac:dyDescent="0.25">
      <c r="A463" s="171">
        <v>24</v>
      </c>
      <c r="B463" s="167">
        <v>1</v>
      </c>
      <c r="D463" s="374" t="s">
        <v>114</v>
      </c>
      <c r="E463" s="374"/>
    </row>
    <row r="464" spans="1:7" ht="19.5" customHeight="1" x14ac:dyDescent="0.25">
      <c r="A464" s="171">
        <v>36</v>
      </c>
      <c r="B464" s="167">
        <v>26</v>
      </c>
      <c r="C464" s="22">
        <f>C462+1</f>
        <v>218</v>
      </c>
      <c r="D464" s="23" t="s">
        <v>154</v>
      </c>
      <c r="E464" s="162"/>
      <c r="F464" s="24" t="s">
        <v>153</v>
      </c>
    </row>
    <row r="465" spans="1:7" ht="18" customHeight="1" x14ac:dyDescent="0.25">
      <c r="A465" s="171">
        <v>16</v>
      </c>
      <c r="B465" s="167">
        <v>24</v>
      </c>
      <c r="D465" s="60"/>
    </row>
    <row r="466" spans="1:7" ht="19.5" customHeight="1" x14ac:dyDescent="0.25">
      <c r="A466" s="171">
        <v>26</v>
      </c>
      <c r="B466" s="167">
        <v>26</v>
      </c>
      <c r="D466" s="57" t="s">
        <v>91</v>
      </c>
    </row>
    <row r="467" spans="1:7" ht="19.5" customHeight="1" x14ac:dyDescent="0.25">
      <c r="A467" s="171">
        <v>36</v>
      </c>
      <c r="B467" s="167">
        <v>26</v>
      </c>
      <c r="C467" s="22">
        <f>C464+1</f>
        <v>219</v>
      </c>
      <c r="D467" s="23" t="s">
        <v>145</v>
      </c>
      <c r="E467" s="162"/>
      <c r="F467" s="24" t="s">
        <v>144</v>
      </c>
    </row>
    <row r="468" spans="1:7" ht="19.5" customHeight="1" x14ac:dyDescent="0.25">
      <c r="A468" s="171">
        <v>36</v>
      </c>
      <c r="B468" s="167">
        <v>26</v>
      </c>
      <c r="C468" s="22">
        <f>C467+1</f>
        <v>220</v>
      </c>
      <c r="D468" s="23" t="s">
        <v>162</v>
      </c>
      <c r="E468" s="246"/>
      <c r="F468" s="24" t="s">
        <v>196</v>
      </c>
    </row>
    <row r="469" spans="1:7" ht="18" hidden="1" customHeight="1" x14ac:dyDescent="0.25">
      <c r="A469" s="171">
        <v>24</v>
      </c>
      <c r="B469" s="167">
        <v>1</v>
      </c>
      <c r="D469" s="374" t="s">
        <v>112</v>
      </c>
      <c r="E469" s="374"/>
      <c r="F469" s="26"/>
    </row>
    <row r="470" spans="1:7" ht="19.5" customHeight="1" x14ac:dyDescent="0.25">
      <c r="A470" s="171">
        <v>36</v>
      </c>
      <c r="B470" s="167">
        <v>26</v>
      </c>
      <c r="C470" s="22">
        <f>C468+1</f>
        <v>221</v>
      </c>
      <c r="D470" s="23" t="s">
        <v>190</v>
      </c>
      <c r="E470" s="164"/>
    </row>
    <row r="471" spans="1:7" ht="30" hidden="1" customHeight="1" x14ac:dyDescent="0.25">
      <c r="A471" s="171">
        <v>40</v>
      </c>
      <c r="B471" s="167">
        <v>1</v>
      </c>
      <c r="D471" s="370" t="s">
        <v>212</v>
      </c>
      <c r="E471" s="370"/>
    </row>
    <row r="472" spans="1:7" ht="19.5" customHeight="1" x14ac:dyDescent="0.3">
      <c r="A472" s="171">
        <v>1</v>
      </c>
      <c r="B472" s="167">
        <v>26</v>
      </c>
      <c r="D472" s="160" t="s">
        <v>227</v>
      </c>
      <c r="E472" s="165">
        <f>IF((E371=""),"Fill out flow tests first",IF(G472=1,E371,E371/3.78541178))</f>
        <v>4.0714285714285712</v>
      </c>
      <c r="F472" s="149"/>
      <c r="G472" s="64">
        <v>1</v>
      </c>
    </row>
    <row r="473" spans="1:7" ht="18" customHeight="1" x14ac:dyDescent="0.25">
      <c r="A473" s="171">
        <v>24</v>
      </c>
      <c r="B473" s="167">
        <v>24</v>
      </c>
      <c r="C473" s="22">
        <f>C470+1</f>
        <v>222</v>
      </c>
      <c r="D473" s="23" t="s">
        <v>102</v>
      </c>
      <c r="E473" s="69">
        <v>1</v>
      </c>
      <c r="G473" s="64">
        <v>1</v>
      </c>
    </row>
    <row r="474" spans="1:7" ht="19.5" hidden="1" customHeight="1" x14ac:dyDescent="0.25">
      <c r="A474" s="171">
        <v>26</v>
      </c>
      <c r="B474" s="167">
        <v>1</v>
      </c>
      <c r="E474" s="228" t="str">
        <f>'Lists-Hidden'!D3</f>
        <v>Yes</v>
      </c>
    </row>
    <row r="475" spans="1:7" ht="19.5" hidden="1" customHeight="1" x14ac:dyDescent="0.25">
      <c r="A475" s="171">
        <v>26</v>
      </c>
      <c r="B475" s="167">
        <v>1</v>
      </c>
      <c r="E475" s="230" t="str">
        <f>'Lists-Hidden'!D4</f>
        <v>No</v>
      </c>
    </row>
    <row r="476" spans="1:7" ht="30" hidden="1" customHeight="1" x14ac:dyDescent="0.25">
      <c r="A476" s="171">
        <v>40</v>
      </c>
      <c r="B476" s="167">
        <v>1</v>
      </c>
      <c r="D476" s="370" t="s">
        <v>213</v>
      </c>
      <c r="E476" s="370"/>
    </row>
    <row r="477" spans="1:7" ht="18" customHeight="1" x14ac:dyDescent="0.25">
      <c r="A477" s="171">
        <v>24</v>
      </c>
      <c r="B477" s="167">
        <v>24</v>
      </c>
      <c r="D477" s="376" t="s">
        <v>447</v>
      </c>
      <c r="E477" s="376"/>
    </row>
    <row r="478" spans="1:7" s="79" customFormat="1" ht="19.5" customHeight="1" x14ac:dyDescent="0.25">
      <c r="A478" s="171">
        <v>36</v>
      </c>
      <c r="B478" s="167">
        <v>26</v>
      </c>
      <c r="C478" s="22">
        <f>C473+1</f>
        <v>223</v>
      </c>
      <c r="D478" s="174" t="s">
        <v>450</v>
      </c>
      <c r="E478" s="166"/>
      <c r="F478" s="24"/>
      <c r="G478" s="64"/>
    </row>
    <row r="479" spans="1:7" s="152" customFormat="1" ht="30" hidden="1" customHeight="1" x14ac:dyDescent="0.25">
      <c r="A479" s="171">
        <v>40</v>
      </c>
      <c r="B479" s="167">
        <v>1</v>
      </c>
      <c r="C479" s="22"/>
      <c r="D479" s="377" t="s">
        <v>449</v>
      </c>
      <c r="E479" s="377"/>
      <c r="F479" s="24"/>
      <c r="G479" s="64"/>
    </row>
    <row r="480" spans="1:7" s="151" customFormat="1" ht="18" customHeight="1" x14ac:dyDescent="0.25">
      <c r="A480" s="171">
        <v>26</v>
      </c>
      <c r="B480" s="167">
        <v>24</v>
      </c>
      <c r="C480" s="22">
        <f>C478+1</f>
        <v>224</v>
      </c>
      <c r="D480" s="170" t="s">
        <v>448</v>
      </c>
      <c r="E480" s="242"/>
      <c r="F480" s="24"/>
      <c r="G480" s="64">
        <v>1</v>
      </c>
    </row>
    <row r="481" spans="1:7" s="153" customFormat="1" ht="19.5" hidden="1" customHeight="1" x14ac:dyDescent="0.25">
      <c r="A481" s="171">
        <v>26</v>
      </c>
      <c r="B481" s="167">
        <v>1</v>
      </c>
      <c r="C481" s="22"/>
      <c r="D481" s="82"/>
      <c r="E481" s="243" t="s">
        <v>57</v>
      </c>
      <c r="F481" s="24"/>
      <c r="G481" s="64"/>
    </row>
    <row r="482" spans="1:7" s="153" customFormat="1" ht="19.5" hidden="1" customHeight="1" x14ac:dyDescent="0.25">
      <c r="A482" s="171">
        <v>26</v>
      </c>
      <c r="B482" s="167">
        <v>1</v>
      </c>
      <c r="C482" s="22"/>
      <c r="D482" s="82"/>
      <c r="E482" s="243" t="s">
        <v>8</v>
      </c>
      <c r="F482" s="24"/>
      <c r="G482" s="64"/>
    </row>
    <row r="483" spans="1:7" s="153" customFormat="1" ht="19.5" hidden="1" customHeight="1" x14ac:dyDescent="0.25">
      <c r="A483" s="171">
        <v>26</v>
      </c>
      <c r="B483" s="167">
        <v>1</v>
      </c>
      <c r="C483" s="22"/>
      <c r="D483" s="82"/>
      <c r="E483" s="244" t="s">
        <v>453</v>
      </c>
      <c r="F483" s="24"/>
      <c r="G483" s="64"/>
    </row>
    <row r="484" spans="1:7" s="153" customFormat="1" ht="12" customHeight="1" x14ac:dyDescent="0.25">
      <c r="A484" s="171">
        <v>10</v>
      </c>
      <c r="B484" s="167">
        <v>16</v>
      </c>
      <c r="C484" s="22"/>
      <c r="D484" s="170"/>
      <c r="E484" s="245"/>
      <c r="F484" s="24"/>
      <c r="G484" s="64"/>
    </row>
    <row r="485" spans="1:7" ht="19.5" customHeight="1" x14ac:dyDescent="0.25">
      <c r="A485" s="171">
        <v>36</v>
      </c>
      <c r="B485" s="167">
        <v>26</v>
      </c>
      <c r="C485" s="22">
        <f>C480+1</f>
        <v>225</v>
      </c>
      <c r="D485" s="27" t="s">
        <v>158</v>
      </c>
      <c r="E485" s="162"/>
      <c r="F485" s="24" t="s">
        <v>196</v>
      </c>
    </row>
    <row r="486" spans="1:7" ht="19.5" customHeight="1" x14ac:dyDescent="0.25">
      <c r="A486" s="171">
        <v>36</v>
      </c>
      <c r="B486" s="167">
        <v>26</v>
      </c>
      <c r="C486" s="22">
        <f>C485+1</f>
        <v>226</v>
      </c>
      <c r="D486" s="27" t="s">
        <v>159</v>
      </c>
      <c r="E486" s="164"/>
      <c r="F486" s="24" t="s">
        <v>157</v>
      </c>
    </row>
    <row r="487" spans="1:7" ht="18" hidden="1" customHeight="1" x14ac:dyDescent="0.25">
      <c r="A487" s="171">
        <v>24</v>
      </c>
      <c r="B487" s="167">
        <v>1</v>
      </c>
      <c r="D487" s="374" t="s">
        <v>113</v>
      </c>
      <c r="E487" s="374"/>
      <c r="F487" s="26"/>
    </row>
    <row r="488" spans="1:7" ht="19.5" customHeight="1" x14ac:dyDescent="0.25">
      <c r="A488" s="171">
        <v>36</v>
      </c>
      <c r="B488" s="167">
        <v>26</v>
      </c>
      <c r="C488" s="22">
        <f>C486+1</f>
        <v>227</v>
      </c>
      <c r="D488" s="23" t="s">
        <v>156</v>
      </c>
      <c r="E488" s="162"/>
      <c r="F488" s="24" t="s">
        <v>151</v>
      </c>
    </row>
    <row r="489" spans="1:7" ht="19.5" customHeight="1" x14ac:dyDescent="0.25">
      <c r="A489" s="171">
        <v>36</v>
      </c>
      <c r="B489" s="167">
        <v>26</v>
      </c>
      <c r="C489" s="22">
        <f>C488+1</f>
        <v>228</v>
      </c>
      <c r="D489" s="23" t="s">
        <v>155</v>
      </c>
      <c r="E489" s="246"/>
      <c r="F489" s="24" t="s">
        <v>152</v>
      </c>
    </row>
    <row r="490" spans="1:7" ht="18" hidden="1" customHeight="1" x14ac:dyDescent="0.25">
      <c r="A490" s="171">
        <v>24</v>
      </c>
      <c r="B490" s="167">
        <v>1</v>
      </c>
      <c r="D490" s="374" t="s">
        <v>114</v>
      </c>
      <c r="E490" s="374"/>
      <c r="F490" s="26"/>
    </row>
    <row r="491" spans="1:7" ht="19.5" customHeight="1" x14ac:dyDescent="0.25">
      <c r="A491" s="171">
        <v>36</v>
      </c>
      <c r="B491" s="167">
        <v>26</v>
      </c>
      <c r="C491" s="22">
        <f>C489+1</f>
        <v>229</v>
      </c>
      <c r="D491" s="23" t="s">
        <v>154</v>
      </c>
      <c r="E491" s="162"/>
      <c r="F491" s="24" t="s">
        <v>153</v>
      </c>
    </row>
    <row r="492" spans="1:7" ht="18" customHeight="1" x14ac:dyDescent="0.25">
      <c r="A492" s="171">
        <v>16</v>
      </c>
      <c r="B492" s="167">
        <v>24</v>
      </c>
      <c r="D492" s="23"/>
    </row>
    <row r="493" spans="1:7" ht="19.5" customHeight="1" x14ac:dyDescent="0.25">
      <c r="A493" s="171">
        <v>24</v>
      </c>
      <c r="B493" s="167">
        <v>26</v>
      </c>
      <c r="C493" s="373" t="s">
        <v>30</v>
      </c>
      <c r="D493" s="373"/>
    </row>
    <row r="494" spans="1:7" ht="27" customHeight="1" x14ac:dyDescent="0.25">
      <c r="A494" s="171">
        <v>36</v>
      </c>
      <c r="B494" s="167">
        <v>36</v>
      </c>
      <c r="C494" s="22">
        <f>C491+1</f>
        <v>230</v>
      </c>
      <c r="D494" s="27" t="s">
        <v>187</v>
      </c>
      <c r="E494" s="162">
        <v>10</v>
      </c>
      <c r="F494" s="24" t="s">
        <v>131</v>
      </c>
    </row>
    <row r="495" spans="1:7" ht="12" customHeight="1" x14ac:dyDescent="0.25">
      <c r="A495" s="171">
        <v>16</v>
      </c>
      <c r="B495" s="167">
        <v>16</v>
      </c>
    </row>
    <row r="496" spans="1:7" ht="15.75" customHeight="1" x14ac:dyDescent="0.25">
      <c r="A496" s="171">
        <v>21</v>
      </c>
      <c r="B496" s="167">
        <v>21</v>
      </c>
      <c r="D496" s="371" t="s">
        <v>93</v>
      </c>
      <c r="E496" s="371"/>
    </row>
    <row r="497" spans="1:7" ht="18" customHeight="1" x14ac:dyDescent="0.25">
      <c r="A497" s="171">
        <v>24</v>
      </c>
      <c r="B497" s="167">
        <v>24</v>
      </c>
      <c r="C497" s="22">
        <f>C494+1</f>
        <v>231</v>
      </c>
      <c r="D497" s="23" t="s">
        <v>31</v>
      </c>
      <c r="E497" s="69">
        <v>1</v>
      </c>
      <c r="G497" s="64">
        <v>2</v>
      </c>
    </row>
    <row r="498" spans="1:7" ht="19.5" hidden="1" customHeight="1" x14ac:dyDescent="0.25">
      <c r="A498" s="171">
        <v>26</v>
      </c>
      <c r="B498" s="167">
        <v>1</v>
      </c>
      <c r="D498" s="29"/>
      <c r="E498" s="228" t="str">
        <f>'Lists-Hidden'!B51</f>
        <v>None</v>
      </c>
    </row>
    <row r="499" spans="1:7" ht="19.5" hidden="1" customHeight="1" x14ac:dyDescent="0.25">
      <c r="A499" s="171">
        <v>26</v>
      </c>
      <c r="B499" s="167">
        <v>1</v>
      </c>
      <c r="D499" s="29"/>
      <c r="E499" s="228" t="str">
        <f>'Lists-Hidden'!B52</f>
        <v>Slight</v>
      </c>
    </row>
    <row r="500" spans="1:7" ht="19.5" hidden="1" customHeight="1" x14ac:dyDescent="0.25">
      <c r="A500" s="171">
        <v>26</v>
      </c>
      <c r="B500" s="167">
        <v>1</v>
      </c>
      <c r="D500" s="29"/>
      <c r="E500" s="228" t="str">
        <f>'Lists-Hidden'!B53</f>
        <v>Medium</v>
      </c>
    </row>
    <row r="501" spans="1:7" ht="19.5" hidden="1" customHeight="1" x14ac:dyDescent="0.25">
      <c r="A501" s="171">
        <v>26</v>
      </c>
      <c r="B501" s="167">
        <v>1</v>
      </c>
      <c r="D501" s="29"/>
      <c r="E501" s="228" t="str">
        <f>'Lists-Hidden'!B54</f>
        <v>Major</v>
      </c>
    </row>
    <row r="502" spans="1:7" ht="7.5" hidden="1" customHeight="1" x14ac:dyDescent="0.25">
      <c r="A502" s="171">
        <v>10</v>
      </c>
      <c r="B502" s="167">
        <v>1</v>
      </c>
      <c r="D502" s="29"/>
      <c r="E502" s="229"/>
    </row>
    <row r="503" spans="1:7" ht="18" customHeight="1" x14ac:dyDescent="0.25">
      <c r="A503" s="171">
        <v>24</v>
      </c>
      <c r="B503" s="167">
        <v>24</v>
      </c>
      <c r="C503" s="22">
        <f>C497+1</f>
        <v>232</v>
      </c>
      <c r="D503" s="23" t="s">
        <v>115</v>
      </c>
      <c r="E503" s="70">
        <v>1</v>
      </c>
      <c r="G503" s="64">
        <v>3</v>
      </c>
    </row>
    <row r="504" spans="1:7" ht="19.5" hidden="1" customHeight="1" x14ac:dyDescent="0.25">
      <c r="A504" s="171">
        <v>26</v>
      </c>
      <c r="B504" s="167">
        <v>1</v>
      </c>
      <c r="D504" s="29"/>
      <c r="E504" s="228" t="str">
        <f>'Lists-Hidden'!B51</f>
        <v>None</v>
      </c>
    </row>
    <row r="505" spans="1:7" ht="19.5" hidden="1" customHeight="1" x14ac:dyDescent="0.25">
      <c r="A505" s="171">
        <v>26</v>
      </c>
      <c r="B505" s="167">
        <v>1</v>
      </c>
      <c r="D505" s="29"/>
      <c r="E505" s="228" t="str">
        <f>'Lists-Hidden'!B52</f>
        <v>Slight</v>
      </c>
    </row>
    <row r="506" spans="1:7" ht="19.5" hidden="1" customHeight="1" x14ac:dyDescent="0.25">
      <c r="A506" s="171">
        <v>26</v>
      </c>
      <c r="B506" s="167">
        <v>1</v>
      </c>
      <c r="D506" s="29"/>
      <c r="E506" s="228" t="str">
        <f>'Lists-Hidden'!B53</f>
        <v>Medium</v>
      </c>
    </row>
    <row r="507" spans="1:7" ht="19.5" hidden="1" customHeight="1" x14ac:dyDescent="0.25">
      <c r="A507" s="171">
        <v>26</v>
      </c>
      <c r="B507" s="167">
        <v>1</v>
      </c>
      <c r="D507" s="29"/>
      <c r="E507" s="228" t="str">
        <f>'Lists-Hidden'!B54</f>
        <v>Major</v>
      </c>
    </row>
    <row r="508" spans="1:7" ht="7.5" hidden="1" customHeight="1" x14ac:dyDescent="0.25">
      <c r="A508" s="171">
        <v>10</v>
      </c>
      <c r="B508" s="167">
        <v>1</v>
      </c>
      <c r="D508" s="29"/>
      <c r="E508" s="229"/>
    </row>
    <row r="509" spans="1:7" ht="18" customHeight="1" x14ac:dyDescent="0.25">
      <c r="A509" s="171">
        <v>24</v>
      </c>
      <c r="B509" s="167">
        <v>24</v>
      </c>
      <c r="C509" s="22">
        <f>C503+1</f>
        <v>233</v>
      </c>
      <c r="D509" s="23" t="s">
        <v>32</v>
      </c>
      <c r="E509" s="70">
        <v>1</v>
      </c>
      <c r="G509" s="64">
        <v>3</v>
      </c>
    </row>
    <row r="510" spans="1:7" ht="19.5" hidden="1" customHeight="1" x14ac:dyDescent="0.25">
      <c r="A510" s="171">
        <v>26</v>
      </c>
      <c r="B510" s="167">
        <v>1</v>
      </c>
      <c r="D510" s="29"/>
      <c r="E510" s="228" t="str">
        <f>'Lists-Hidden'!B51</f>
        <v>None</v>
      </c>
    </row>
    <row r="511" spans="1:7" ht="19.5" hidden="1" customHeight="1" x14ac:dyDescent="0.25">
      <c r="A511" s="171">
        <v>26</v>
      </c>
      <c r="B511" s="167">
        <v>1</v>
      </c>
      <c r="D511" s="29"/>
      <c r="E511" s="228" t="str">
        <f>'Lists-Hidden'!B52</f>
        <v>Slight</v>
      </c>
    </row>
    <row r="512" spans="1:7" ht="19.5" hidden="1" customHeight="1" x14ac:dyDescent="0.25">
      <c r="A512" s="171">
        <v>26</v>
      </c>
      <c r="B512" s="167">
        <v>1</v>
      </c>
      <c r="D512" s="29"/>
      <c r="E512" s="228" t="str">
        <f>'Lists-Hidden'!B53</f>
        <v>Medium</v>
      </c>
    </row>
    <row r="513" spans="1:7" ht="19.5" hidden="1" customHeight="1" x14ac:dyDescent="0.25">
      <c r="A513" s="171">
        <v>26</v>
      </c>
      <c r="B513" s="167">
        <v>1</v>
      </c>
      <c r="D513" s="29"/>
      <c r="E513" s="230" t="str">
        <f>'Lists-Hidden'!B54</f>
        <v>Major</v>
      </c>
    </row>
    <row r="514" spans="1:7" ht="7.5" hidden="1" customHeight="1" x14ac:dyDescent="0.25">
      <c r="A514" s="171">
        <v>10</v>
      </c>
      <c r="B514" s="167">
        <v>1</v>
      </c>
    </row>
    <row r="515" spans="1:7" ht="19.5" customHeight="1" x14ac:dyDescent="0.25">
      <c r="A515" s="171">
        <v>21</v>
      </c>
      <c r="B515" s="167">
        <v>26</v>
      </c>
      <c r="D515" s="371" t="s">
        <v>122</v>
      </c>
      <c r="E515" s="371"/>
    </row>
    <row r="516" spans="1:7" ht="29.25" customHeight="1" x14ac:dyDescent="0.25">
      <c r="A516" s="171">
        <v>39</v>
      </c>
      <c r="B516" s="167">
        <v>39</v>
      </c>
      <c r="D516" s="375" t="s">
        <v>124</v>
      </c>
      <c r="E516" s="375"/>
    </row>
    <row r="517" spans="1:7" ht="18" customHeight="1" x14ac:dyDescent="0.25">
      <c r="A517" s="171">
        <v>24</v>
      </c>
      <c r="B517" s="167">
        <v>24</v>
      </c>
      <c r="C517" s="22">
        <f>C509+1</f>
        <v>234</v>
      </c>
      <c r="D517" s="23" t="s">
        <v>31</v>
      </c>
      <c r="E517" s="69">
        <v>1</v>
      </c>
      <c r="G517" s="64">
        <v>1</v>
      </c>
    </row>
    <row r="518" spans="1:7" ht="18" hidden="1" customHeight="1" x14ac:dyDescent="0.25">
      <c r="A518" s="171">
        <v>24</v>
      </c>
      <c r="B518" s="167">
        <v>1</v>
      </c>
      <c r="D518" s="29"/>
      <c r="E518" s="228" t="str">
        <f>'Lists-Hidden'!B51</f>
        <v>None</v>
      </c>
    </row>
    <row r="519" spans="1:7" ht="18" hidden="1" customHeight="1" x14ac:dyDescent="0.25">
      <c r="A519" s="171">
        <v>24</v>
      </c>
      <c r="B519" s="167">
        <v>1</v>
      </c>
      <c r="D519" s="29"/>
      <c r="E519" s="228" t="str">
        <f>'Lists-Hidden'!B52</f>
        <v>Slight</v>
      </c>
    </row>
    <row r="520" spans="1:7" ht="18" hidden="1" customHeight="1" x14ac:dyDescent="0.25">
      <c r="A520" s="171">
        <v>24</v>
      </c>
      <c r="B520" s="167">
        <v>1</v>
      </c>
      <c r="D520" s="29"/>
      <c r="E520" s="228" t="str">
        <f>'Lists-Hidden'!B53</f>
        <v>Medium</v>
      </c>
    </row>
    <row r="521" spans="1:7" ht="18" hidden="1" customHeight="1" x14ac:dyDescent="0.25">
      <c r="A521" s="171">
        <v>24</v>
      </c>
      <c r="B521" s="167">
        <v>1</v>
      </c>
      <c r="D521" s="29"/>
      <c r="E521" s="228" t="str">
        <f>'Lists-Hidden'!B54</f>
        <v>Major</v>
      </c>
    </row>
    <row r="522" spans="1:7" ht="7.5" hidden="1" customHeight="1" x14ac:dyDescent="0.25">
      <c r="A522" s="171">
        <v>10</v>
      </c>
      <c r="B522" s="167">
        <v>1</v>
      </c>
      <c r="D522" s="29"/>
      <c r="E522" s="229"/>
    </row>
    <row r="523" spans="1:7" ht="18" customHeight="1" x14ac:dyDescent="0.25">
      <c r="A523" s="171">
        <v>24</v>
      </c>
      <c r="B523" s="167">
        <v>24</v>
      </c>
      <c r="C523" s="22">
        <f>C517+1</f>
        <v>235</v>
      </c>
      <c r="D523" s="23" t="s">
        <v>33</v>
      </c>
      <c r="E523" s="70">
        <v>1</v>
      </c>
      <c r="G523" s="64">
        <v>1</v>
      </c>
    </row>
    <row r="524" spans="1:7" ht="18" hidden="1" customHeight="1" x14ac:dyDescent="0.25">
      <c r="A524" s="171">
        <v>24</v>
      </c>
      <c r="B524" s="167">
        <v>1</v>
      </c>
      <c r="D524" s="29"/>
      <c r="E524" s="228" t="str">
        <f>'Lists-Hidden'!B51</f>
        <v>None</v>
      </c>
    </row>
    <row r="525" spans="1:7" ht="18" hidden="1" customHeight="1" x14ac:dyDescent="0.25">
      <c r="A525" s="171">
        <v>24</v>
      </c>
      <c r="B525" s="167">
        <v>1</v>
      </c>
      <c r="D525" s="29"/>
      <c r="E525" s="228" t="str">
        <f>'Lists-Hidden'!B52</f>
        <v>Slight</v>
      </c>
    </row>
    <row r="526" spans="1:7" ht="18" hidden="1" customHeight="1" x14ac:dyDescent="0.25">
      <c r="A526" s="171">
        <v>24</v>
      </c>
      <c r="B526" s="167">
        <v>1</v>
      </c>
      <c r="D526" s="29"/>
      <c r="E526" s="228" t="str">
        <f>'Lists-Hidden'!B53</f>
        <v>Medium</v>
      </c>
    </row>
    <row r="527" spans="1:7" ht="18" hidden="1" customHeight="1" x14ac:dyDescent="0.25">
      <c r="A527" s="171">
        <v>24</v>
      </c>
      <c r="B527" s="167">
        <v>1</v>
      </c>
      <c r="D527" s="29"/>
      <c r="E527" s="228" t="str">
        <f>'Lists-Hidden'!B54</f>
        <v>Major</v>
      </c>
    </row>
    <row r="528" spans="1:7" ht="7.5" hidden="1" customHeight="1" x14ac:dyDescent="0.25">
      <c r="A528" s="171">
        <v>10</v>
      </c>
      <c r="B528" s="167">
        <v>1</v>
      </c>
      <c r="D528" s="29"/>
      <c r="E528" s="229"/>
    </row>
    <row r="529" spans="1:7" ht="18" customHeight="1" x14ac:dyDescent="0.25">
      <c r="A529" s="171">
        <v>24</v>
      </c>
      <c r="B529" s="167">
        <v>24</v>
      </c>
      <c r="C529" s="22">
        <f>C523+1</f>
        <v>236</v>
      </c>
      <c r="D529" s="23" t="s">
        <v>34</v>
      </c>
      <c r="E529" s="69">
        <v>1</v>
      </c>
      <c r="G529" s="64">
        <v>1</v>
      </c>
    </row>
    <row r="530" spans="1:7" ht="18" hidden="1" customHeight="1" x14ac:dyDescent="0.25">
      <c r="A530" s="171">
        <v>24</v>
      </c>
      <c r="B530" s="167">
        <v>1</v>
      </c>
      <c r="D530" s="29"/>
      <c r="E530" s="228" t="str">
        <f>'Lists-Hidden'!B51</f>
        <v>None</v>
      </c>
    </row>
    <row r="531" spans="1:7" ht="18" hidden="1" customHeight="1" x14ac:dyDescent="0.25">
      <c r="A531" s="171">
        <v>24</v>
      </c>
      <c r="B531" s="167">
        <v>1</v>
      </c>
      <c r="D531" s="29"/>
      <c r="E531" s="228" t="str">
        <f>'Lists-Hidden'!B52</f>
        <v>Slight</v>
      </c>
    </row>
    <row r="532" spans="1:7" ht="18" hidden="1" customHeight="1" x14ac:dyDescent="0.25">
      <c r="A532" s="171">
        <v>24</v>
      </c>
      <c r="B532" s="167">
        <v>1</v>
      </c>
      <c r="D532" s="29"/>
      <c r="E532" s="228" t="str">
        <f>'Lists-Hidden'!B53</f>
        <v>Medium</v>
      </c>
    </row>
    <row r="533" spans="1:7" ht="18" hidden="1" customHeight="1" x14ac:dyDescent="0.25">
      <c r="A533" s="171">
        <v>24</v>
      </c>
      <c r="B533" s="167">
        <v>1</v>
      </c>
      <c r="D533" s="29"/>
      <c r="E533" s="230" t="str">
        <f>'Lists-Hidden'!B54</f>
        <v>Major</v>
      </c>
    </row>
    <row r="534" spans="1:7" s="75" customFormat="1" ht="7.5" hidden="1" customHeight="1" x14ac:dyDescent="0.25">
      <c r="A534" s="171">
        <v>10</v>
      </c>
      <c r="B534" s="167">
        <v>1</v>
      </c>
      <c r="C534" s="22"/>
      <c r="D534" s="29"/>
      <c r="E534" s="231"/>
      <c r="F534" s="24"/>
      <c r="G534" s="64"/>
    </row>
    <row r="535" spans="1:7" s="75" customFormat="1" ht="18" customHeight="1" x14ac:dyDescent="0.25">
      <c r="A535" s="171">
        <v>24</v>
      </c>
      <c r="B535" s="167">
        <v>24</v>
      </c>
      <c r="C535" s="22">
        <f>C529+1</f>
        <v>237</v>
      </c>
      <c r="D535" s="23" t="s">
        <v>264</v>
      </c>
      <c r="E535" s="70">
        <v>1</v>
      </c>
      <c r="F535" s="24"/>
      <c r="G535" s="64">
        <v>1</v>
      </c>
    </row>
    <row r="536" spans="1:7" s="75" customFormat="1" ht="18" hidden="1" customHeight="1" x14ac:dyDescent="0.25">
      <c r="A536" s="171">
        <v>24</v>
      </c>
      <c r="B536" s="167">
        <v>1</v>
      </c>
      <c r="C536" s="22"/>
      <c r="D536" s="29"/>
      <c r="E536" s="228" t="str">
        <f>'Lists-Hidden'!B51</f>
        <v>None</v>
      </c>
      <c r="F536" s="24"/>
      <c r="G536" s="64"/>
    </row>
    <row r="537" spans="1:7" s="75" customFormat="1" ht="18" hidden="1" customHeight="1" x14ac:dyDescent="0.25">
      <c r="A537" s="171">
        <v>24</v>
      </c>
      <c r="B537" s="167">
        <v>1</v>
      </c>
      <c r="C537" s="22"/>
      <c r="D537" s="29"/>
      <c r="E537" s="228" t="str">
        <f>'Lists-Hidden'!B52</f>
        <v>Slight</v>
      </c>
      <c r="F537" s="24"/>
      <c r="G537" s="64"/>
    </row>
    <row r="538" spans="1:7" s="75" customFormat="1" ht="18" hidden="1" customHeight="1" x14ac:dyDescent="0.25">
      <c r="A538" s="171">
        <v>24</v>
      </c>
      <c r="B538" s="167">
        <v>1</v>
      </c>
      <c r="C538" s="22"/>
      <c r="D538" s="29"/>
      <c r="E538" s="228" t="str">
        <f>'Lists-Hidden'!B53</f>
        <v>Medium</v>
      </c>
      <c r="F538" s="24"/>
      <c r="G538" s="64"/>
    </row>
    <row r="539" spans="1:7" s="75" customFormat="1" ht="18" hidden="1" customHeight="1" x14ac:dyDescent="0.25">
      <c r="A539" s="171">
        <v>24</v>
      </c>
      <c r="B539" s="167">
        <v>1</v>
      </c>
      <c r="C539" s="22"/>
      <c r="D539" s="29"/>
      <c r="E539" s="228" t="str">
        <f>'Lists-Hidden'!B54</f>
        <v>Major</v>
      </c>
      <c r="F539" s="24"/>
      <c r="G539" s="64"/>
    </row>
    <row r="540" spans="1:7" ht="7.5" hidden="1" customHeight="1" x14ac:dyDescent="0.25">
      <c r="A540" s="171">
        <v>10</v>
      </c>
      <c r="B540" s="167">
        <v>1</v>
      </c>
      <c r="D540" s="29"/>
      <c r="E540" s="229"/>
    </row>
    <row r="541" spans="1:7" ht="18" customHeight="1" x14ac:dyDescent="0.25">
      <c r="A541" s="171">
        <v>24</v>
      </c>
      <c r="B541" s="167">
        <v>24</v>
      </c>
      <c r="C541" s="22">
        <f>C535+1</f>
        <v>238</v>
      </c>
      <c r="D541" s="23" t="s">
        <v>35</v>
      </c>
      <c r="E541" s="70">
        <v>1</v>
      </c>
      <c r="G541" s="64">
        <v>1</v>
      </c>
    </row>
    <row r="542" spans="1:7" ht="18" hidden="1" customHeight="1" x14ac:dyDescent="0.25">
      <c r="A542" s="171">
        <v>24</v>
      </c>
      <c r="B542" s="167">
        <v>1</v>
      </c>
      <c r="D542" s="29"/>
      <c r="E542" s="228" t="str">
        <f>'Lists-Hidden'!B51</f>
        <v>None</v>
      </c>
    </row>
    <row r="543" spans="1:7" ht="18" hidden="1" customHeight="1" x14ac:dyDescent="0.25">
      <c r="A543" s="171">
        <v>24</v>
      </c>
      <c r="B543" s="167">
        <v>1</v>
      </c>
      <c r="D543" s="29"/>
      <c r="E543" s="228" t="str">
        <f>'Lists-Hidden'!B52</f>
        <v>Slight</v>
      </c>
    </row>
    <row r="544" spans="1:7" ht="18" hidden="1" customHeight="1" x14ac:dyDescent="0.25">
      <c r="A544" s="171">
        <v>24</v>
      </c>
      <c r="B544" s="167">
        <v>1</v>
      </c>
      <c r="D544" s="29"/>
      <c r="E544" s="228" t="str">
        <f>'Lists-Hidden'!B53</f>
        <v>Medium</v>
      </c>
    </row>
    <row r="545" spans="1:7" ht="18" hidden="1" customHeight="1" x14ac:dyDescent="0.25">
      <c r="A545" s="171">
        <v>24</v>
      </c>
      <c r="B545" s="167">
        <v>1</v>
      </c>
      <c r="D545" s="29"/>
      <c r="E545" s="228" t="str">
        <f>'Lists-Hidden'!B54</f>
        <v>Major</v>
      </c>
    </row>
    <row r="546" spans="1:7" ht="7.5" hidden="1" customHeight="1" x14ac:dyDescent="0.25">
      <c r="A546" s="171">
        <v>10</v>
      </c>
      <c r="B546" s="167">
        <v>1</v>
      </c>
      <c r="D546" s="29"/>
      <c r="E546" s="229"/>
    </row>
    <row r="547" spans="1:7" ht="18" customHeight="1" x14ac:dyDescent="0.25">
      <c r="A547" s="171">
        <v>24</v>
      </c>
      <c r="B547" s="167">
        <v>24</v>
      </c>
      <c r="C547" s="22">
        <f>C541+1</f>
        <v>239</v>
      </c>
      <c r="D547" s="23" t="s">
        <v>36</v>
      </c>
      <c r="E547" s="70">
        <v>1</v>
      </c>
      <c r="G547" s="64">
        <v>1</v>
      </c>
    </row>
    <row r="548" spans="1:7" ht="18" hidden="1" customHeight="1" x14ac:dyDescent="0.25">
      <c r="A548" s="171">
        <v>24</v>
      </c>
      <c r="B548" s="167">
        <v>1</v>
      </c>
      <c r="D548" s="29"/>
      <c r="E548" s="228" t="str">
        <f>'Lists-Hidden'!B51</f>
        <v>None</v>
      </c>
    </row>
    <row r="549" spans="1:7" ht="18" hidden="1" customHeight="1" x14ac:dyDescent="0.25">
      <c r="A549" s="171">
        <v>24</v>
      </c>
      <c r="B549" s="167">
        <v>1</v>
      </c>
      <c r="D549" s="29"/>
      <c r="E549" s="228" t="str">
        <f>'Lists-Hidden'!B52</f>
        <v>Slight</v>
      </c>
    </row>
    <row r="550" spans="1:7" ht="18" hidden="1" customHeight="1" x14ac:dyDescent="0.25">
      <c r="A550" s="171">
        <v>24</v>
      </c>
      <c r="B550" s="167">
        <v>1</v>
      </c>
      <c r="D550" s="29"/>
      <c r="E550" s="228" t="str">
        <f>'Lists-Hidden'!B53</f>
        <v>Medium</v>
      </c>
    </row>
    <row r="551" spans="1:7" ht="18" hidden="1" customHeight="1" x14ac:dyDescent="0.25">
      <c r="A551" s="171">
        <v>24</v>
      </c>
      <c r="B551" s="167">
        <v>1</v>
      </c>
      <c r="D551" s="29"/>
      <c r="E551" s="230" t="str">
        <f>'Lists-Hidden'!B54</f>
        <v>Major</v>
      </c>
    </row>
    <row r="552" spans="1:7" ht="7.5" hidden="1" customHeight="1" x14ac:dyDescent="0.25">
      <c r="A552" s="171">
        <v>10</v>
      </c>
      <c r="B552" s="167">
        <v>1</v>
      </c>
    </row>
    <row r="553" spans="1:7" ht="29.25" customHeight="1" x14ac:dyDescent="0.25">
      <c r="A553" s="171">
        <v>39</v>
      </c>
      <c r="B553" s="167">
        <v>39</v>
      </c>
      <c r="C553" s="22">
        <f>C547+1</f>
        <v>240</v>
      </c>
      <c r="D553" s="27" t="s">
        <v>94</v>
      </c>
      <c r="E553" s="69">
        <v>1</v>
      </c>
      <c r="G553" s="64">
        <v>1</v>
      </c>
    </row>
    <row r="554" spans="1:7" ht="18" hidden="1" customHeight="1" x14ac:dyDescent="0.25">
      <c r="A554" s="171">
        <v>24</v>
      </c>
      <c r="B554" s="167">
        <v>1</v>
      </c>
      <c r="D554" s="33"/>
      <c r="E554" s="228" t="str">
        <f>'Lists-Hidden'!B51</f>
        <v>None</v>
      </c>
    </row>
    <row r="555" spans="1:7" ht="18" hidden="1" customHeight="1" x14ac:dyDescent="0.25">
      <c r="A555" s="171">
        <v>24</v>
      </c>
      <c r="B555" s="167">
        <v>1</v>
      </c>
      <c r="D555" s="33"/>
      <c r="E555" s="228" t="str">
        <f>'Lists-Hidden'!B52</f>
        <v>Slight</v>
      </c>
    </row>
    <row r="556" spans="1:7" ht="18" hidden="1" customHeight="1" x14ac:dyDescent="0.25">
      <c r="A556" s="171">
        <v>24</v>
      </c>
      <c r="B556" s="167">
        <v>1</v>
      </c>
      <c r="D556" s="33"/>
      <c r="E556" s="228" t="str">
        <f>'Lists-Hidden'!B53</f>
        <v>Medium</v>
      </c>
    </row>
    <row r="557" spans="1:7" ht="18" hidden="1" customHeight="1" x14ac:dyDescent="0.25">
      <c r="A557" s="171">
        <v>24</v>
      </c>
      <c r="B557" s="167">
        <v>1</v>
      </c>
      <c r="D557" s="33"/>
      <c r="E557" s="230" t="str">
        <f>'Lists-Hidden'!B54</f>
        <v>Major</v>
      </c>
    </row>
    <row r="558" spans="1:7" ht="18" customHeight="1" x14ac:dyDescent="0.25">
      <c r="A558" s="171">
        <v>16</v>
      </c>
      <c r="B558" s="167">
        <v>24</v>
      </c>
    </row>
    <row r="559" spans="1:7" ht="19.5" customHeight="1" x14ac:dyDescent="0.25">
      <c r="A559" s="171">
        <v>24</v>
      </c>
      <c r="B559" s="167">
        <v>26</v>
      </c>
      <c r="C559" s="373" t="s">
        <v>29</v>
      </c>
      <c r="D559" s="373"/>
    </row>
    <row r="560" spans="1:7" ht="19.5" customHeight="1" x14ac:dyDescent="0.25">
      <c r="A560" s="171">
        <v>36</v>
      </c>
      <c r="B560" s="167">
        <v>26</v>
      </c>
      <c r="C560" s="22">
        <f>C553+1</f>
        <v>241</v>
      </c>
      <c r="D560" s="27" t="s">
        <v>135</v>
      </c>
      <c r="E560" s="162">
        <v>20</v>
      </c>
      <c r="F560" s="24" t="s">
        <v>132</v>
      </c>
    </row>
    <row r="561" spans="1:13" ht="19.5" customHeight="1" x14ac:dyDescent="0.25">
      <c r="A561" s="171">
        <v>36</v>
      </c>
      <c r="B561" s="167">
        <v>26</v>
      </c>
      <c r="C561" s="22">
        <f>C560+1</f>
        <v>242</v>
      </c>
      <c r="D561" s="27" t="s">
        <v>134</v>
      </c>
      <c r="E561" s="247">
        <v>10</v>
      </c>
      <c r="F561" s="24" t="s">
        <v>133</v>
      </c>
      <c r="H561" s="20"/>
      <c r="I561" s="20"/>
      <c r="J561" s="20"/>
      <c r="K561" s="20"/>
      <c r="L561" s="20"/>
      <c r="M561" s="20"/>
    </row>
    <row r="562" spans="1:13" ht="12" customHeight="1" x14ac:dyDescent="0.25">
      <c r="A562" s="171">
        <v>1</v>
      </c>
      <c r="B562" s="167">
        <v>16</v>
      </c>
      <c r="H562" s="20"/>
      <c r="I562" s="20"/>
      <c r="J562" s="20"/>
      <c r="K562" s="20"/>
      <c r="L562" s="20"/>
      <c r="M562" s="20"/>
    </row>
    <row r="563" spans="1:13" ht="19.5" customHeight="1" x14ac:dyDescent="0.25">
      <c r="A563" s="171">
        <v>1</v>
      </c>
      <c r="B563" s="167">
        <v>26</v>
      </c>
      <c r="D563" s="61" t="s">
        <v>226</v>
      </c>
      <c r="E563" s="248">
        <f>MAX('Error Check'!B4:B739)</f>
        <v>36</v>
      </c>
      <c r="H563" s="20"/>
      <c r="I563" s="20"/>
      <c r="J563" s="20"/>
      <c r="K563" s="20"/>
      <c r="L563" s="20"/>
      <c r="M563" s="20"/>
    </row>
    <row r="564" spans="1:13" ht="19.5" customHeight="1" x14ac:dyDescent="0.25">
      <c r="A564" s="171">
        <v>1</v>
      </c>
      <c r="B564" s="167">
        <v>26</v>
      </c>
      <c r="D564" s="372" t="str">
        <f>IF(E563&gt;0, "Please review 'Error Check' Tab, and correct errors before viewing output.","Continue to output.")</f>
        <v>Please review 'Error Check' Tab, and correct errors before viewing output.</v>
      </c>
      <c r="E564" s="372"/>
    </row>
    <row r="565" spans="1:13" ht="9.9499999999999993" hidden="1" customHeight="1" x14ac:dyDescent="0.25"/>
    <row r="566" spans="1:13" s="167" customFormat="1" ht="9.9499999999999993" hidden="1" customHeight="1" x14ac:dyDescent="0.25">
      <c r="A566" s="171"/>
      <c r="C566" s="22"/>
      <c r="E566" s="71"/>
      <c r="F566" s="24"/>
      <c r="G566" s="64"/>
    </row>
    <row r="567" spans="1:13" ht="9.9499999999999993" hidden="1" customHeight="1" x14ac:dyDescent="0.25"/>
    <row r="568" spans="1:13" ht="9.9499999999999993" hidden="1" customHeight="1" x14ac:dyDescent="0.25"/>
    <row r="569" spans="1:13" ht="9.9499999999999993" hidden="1" customHeight="1" x14ac:dyDescent="0.25"/>
    <row r="570" spans="1:13" ht="9.9499999999999993" hidden="1" customHeight="1" x14ac:dyDescent="0.25"/>
    <row r="571" spans="1:13" ht="9.9499999999999993" hidden="1" customHeight="1" x14ac:dyDescent="0.25"/>
    <row r="572" spans="1:13" ht="9.9499999999999993" hidden="1" customHeight="1" x14ac:dyDescent="0.25"/>
    <row r="573" spans="1:13" ht="9.9499999999999993" hidden="1" customHeight="1" x14ac:dyDescent="0.25"/>
    <row r="574" spans="1:13" ht="9.9499999999999993" hidden="1" customHeight="1" x14ac:dyDescent="0.25"/>
    <row r="575" spans="1:13" ht="9.9499999999999993" hidden="1" customHeight="1" x14ac:dyDescent="0.25"/>
    <row r="576" spans="1:13" ht="9.9499999999999993" hidden="1" customHeight="1" x14ac:dyDescent="0.25"/>
    <row r="577" ht="9.9499999999999993" hidden="1" customHeight="1" x14ac:dyDescent="0.25"/>
    <row r="578" ht="9.9499999999999993" hidden="1" customHeight="1" x14ac:dyDescent="0.25"/>
    <row r="579" ht="9.9499999999999993" hidden="1" customHeight="1" x14ac:dyDescent="0.25"/>
    <row r="580" ht="9.9499999999999993" hidden="1" customHeight="1" x14ac:dyDescent="0.25"/>
    <row r="581" ht="9.9499999999999993" hidden="1" customHeight="1" x14ac:dyDescent="0.25"/>
    <row r="582" ht="9.9499999999999993" hidden="1" customHeight="1" x14ac:dyDescent="0.25"/>
    <row r="583" ht="9.9499999999999993" hidden="1" customHeight="1" x14ac:dyDescent="0.25"/>
    <row r="584" ht="9.9499999999999993" hidden="1" customHeight="1" x14ac:dyDescent="0.25"/>
    <row r="585" ht="9.9499999999999993" hidden="1" customHeight="1" x14ac:dyDescent="0.25"/>
    <row r="586" ht="9.9499999999999993" hidden="1" customHeight="1" x14ac:dyDescent="0.25"/>
    <row r="587" ht="9.9499999999999993" hidden="1" customHeight="1" x14ac:dyDescent="0.25"/>
    <row r="588" ht="9.9499999999999993" hidden="1" customHeight="1" x14ac:dyDescent="0.25"/>
    <row r="589" ht="9.9499999999999993" hidden="1" customHeight="1" x14ac:dyDescent="0.25"/>
    <row r="590" ht="9.9499999999999993" hidden="1" customHeight="1" x14ac:dyDescent="0.25"/>
    <row r="591" ht="9.9499999999999993" hidden="1" customHeight="1" x14ac:dyDescent="0.25"/>
    <row r="592" ht="9.9499999999999993" hidden="1" customHeight="1" x14ac:dyDescent="0.25"/>
    <row r="593" ht="9.9499999999999993" hidden="1" customHeight="1" x14ac:dyDescent="0.25"/>
    <row r="594" ht="9.9499999999999993" hidden="1" customHeight="1" x14ac:dyDescent="0.25"/>
    <row r="595" ht="9.9499999999999993" hidden="1" customHeight="1" x14ac:dyDescent="0.25"/>
    <row r="596" ht="9.9499999999999993" hidden="1" customHeight="1" x14ac:dyDescent="0.25"/>
    <row r="597" ht="9.9499999999999993" hidden="1" customHeight="1" x14ac:dyDescent="0.25"/>
    <row r="598" ht="9.9499999999999993" hidden="1" customHeight="1" x14ac:dyDescent="0.25"/>
    <row r="599" ht="9.9499999999999993" hidden="1" customHeight="1" x14ac:dyDescent="0.25"/>
    <row r="600" ht="9.9499999999999993" hidden="1" customHeight="1" x14ac:dyDescent="0.25"/>
  </sheetData>
  <sheetProtection password="BF01" sheet="1" objects="1" scenarios="1" selectLockedCells="1"/>
  <mergeCells count="102">
    <mergeCell ref="D284:E284"/>
    <mergeCell ref="D26:E26"/>
    <mergeCell ref="D281:E281"/>
    <mergeCell ref="D236:E236"/>
    <mergeCell ref="D262:E262"/>
    <mergeCell ref="D264:E264"/>
    <mergeCell ref="D270:E270"/>
    <mergeCell ref="D256:E256"/>
    <mergeCell ref="D188:E188"/>
    <mergeCell ref="D216:E216"/>
    <mergeCell ref="D222:E222"/>
    <mergeCell ref="D230:E230"/>
    <mergeCell ref="D194:E194"/>
    <mergeCell ref="D215:E215"/>
    <mergeCell ref="D229:E229"/>
    <mergeCell ref="D254:E254"/>
    <mergeCell ref="C156:D156"/>
    <mergeCell ref="D141:E141"/>
    <mergeCell ref="D269:E269"/>
    <mergeCell ref="D274:E274"/>
    <mergeCell ref="D279:E279"/>
    <mergeCell ref="D291:E291"/>
    <mergeCell ref="C1:D1"/>
    <mergeCell ref="C10:D10"/>
    <mergeCell ref="C32:D32"/>
    <mergeCell ref="C408:D408"/>
    <mergeCell ref="C126:D126"/>
    <mergeCell ref="C135:D135"/>
    <mergeCell ref="D115:E115"/>
    <mergeCell ref="C14:D14"/>
    <mergeCell ref="C52:D52"/>
    <mergeCell ref="C82:D82"/>
    <mergeCell ref="D280:E280"/>
    <mergeCell ref="D374:E374"/>
    <mergeCell ref="D160:E160"/>
    <mergeCell ref="C157:E157"/>
    <mergeCell ref="C251:D251"/>
    <mergeCell ref="D159:E159"/>
    <mergeCell ref="D373:F373"/>
    <mergeCell ref="D202:E202"/>
    <mergeCell ref="D344:E344"/>
    <mergeCell ref="D283:E283"/>
    <mergeCell ref="D328:E328"/>
    <mergeCell ref="D319:E319"/>
    <mergeCell ref="D286:F286"/>
    <mergeCell ref="D444:E444"/>
    <mergeCell ref="D350:E350"/>
    <mergeCell ref="D375:E375"/>
    <mergeCell ref="D313:E313"/>
    <mergeCell ref="D180:E180"/>
    <mergeCell ref="D174:E174"/>
    <mergeCell ref="D166:E166"/>
    <mergeCell ref="D257:E257"/>
    <mergeCell ref="D258:E258"/>
    <mergeCell ref="C250:D250"/>
    <mergeCell ref="D410:E410"/>
    <mergeCell ref="D322:E322"/>
    <mergeCell ref="D173:F173"/>
    <mergeCell ref="D187:E187"/>
    <mergeCell ref="D201:E201"/>
    <mergeCell ref="D317:E317"/>
    <mergeCell ref="D348:E348"/>
    <mergeCell ref="D285:E285"/>
    <mergeCell ref="D259:E259"/>
    <mergeCell ref="D288:F288"/>
    <mergeCell ref="D275:E275"/>
    <mergeCell ref="D243:E243"/>
    <mergeCell ref="D208:E208"/>
    <mergeCell ref="D326:E326"/>
    <mergeCell ref="D331:E331"/>
    <mergeCell ref="D417:E417"/>
    <mergeCell ref="D442:E442"/>
    <mergeCell ref="D436:E436"/>
    <mergeCell ref="D340:E340"/>
    <mergeCell ref="D349:E349"/>
    <mergeCell ref="D409:E409"/>
    <mergeCell ref="D415:E415"/>
    <mergeCell ref="D346:E346"/>
    <mergeCell ref="D422:E422"/>
    <mergeCell ref="D433:E433"/>
    <mergeCell ref="D423:E423"/>
    <mergeCell ref="D335:E335"/>
    <mergeCell ref="D337:E337"/>
    <mergeCell ref="D425:E425"/>
    <mergeCell ref="D471:E471"/>
    <mergeCell ref="D449:E449"/>
    <mergeCell ref="D476:E476"/>
    <mergeCell ref="D515:E515"/>
    <mergeCell ref="D564:E564"/>
    <mergeCell ref="C559:D559"/>
    <mergeCell ref="C493:D493"/>
    <mergeCell ref="D460:E460"/>
    <mergeCell ref="D487:E487"/>
    <mergeCell ref="D496:E496"/>
    <mergeCell ref="D516:E516"/>
    <mergeCell ref="D490:E490"/>
    <mergeCell ref="D450:E450"/>
    <mergeCell ref="D477:E477"/>
    <mergeCell ref="D463:E463"/>
    <mergeCell ref="D469:E469"/>
    <mergeCell ref="D452:E452"/>
    <mergeCell ref="D479:E479"/>
  </mergeCells>
  <phoneticPr fontId="1" type="noConversion"/>
  <dataValidations count="66">
    <dataValidation type="decimal" errorStyle="warning" operator="greaterThan" allowBlank="1" showInputMessage="1" showErrorMessage="1" error="Only enter zero (0) if there was no flow through the emitter (fully plugged). Do not enter negative numbers." sqref="E370">
      <formula1>0</formula1>
    </dataValidation>
    <dataValidation type="whole" allowBlank="1" showInputMessage="1" showErrorMessage="1" sqref="E547 E103 E120 E535 E541 E529 E523 E517 E503 E497 E509 E553">
      <formula1>1</formula1>
      <formula2>5</formula2>
    </dataValidation>
    <dataValidation type="whole" allowBlank="1" showInputMessage="1" showErrorMessage="1" error="This value needs to be a whole number between 0 and 100%. _x000a_Please re-enter the percentage of emitters that continue to drain after most emitters stop." sqref="E561">
      <formula1>0</formula1>
      <formula2>100</formula2>
    </dataValidation>
    <dataValidation type="whole" showInputMessage="1" showErrorMessage="1" sqref="E473 E42 E37 E53 E148 E143 E138 E152 E276 E271 E266 E419 E446">
      <formula1>1</formula1>
      <formula2>3</formula2>
    </dataValidation>
    <dataValidation type="decimal" errorStyle="warning" operator="greaterThan" allowBlank="1" showInputMessage="1" showErrorMessage="1" error="This value must be a number greater than zero. The minimum value for this field is 1. _x000a_Please re-enter the number of emitters per plant in Area 3." sqref="E470">
      <formula1>1</formula1>
    </dataValidation>
    <dataValidation type="decimal" errorStyle="warning" operator="greaterThan" allowBlank="1" showInputMessage="1" showErrorMessage="1" error="Enter a number greater than zero." sqref="C242:XFD242 A242">
      <formula1>0</formula1>
    </dataValidation>
    <dataValidation type="decimal" errorStyle="warning" operator="greaterThanOrEqual" allowBlank="1" showInputMessage="1" showErrorMessage="1" error="Please enter a value greater than or equal to zero (0 psi)." sqref="E249">
      <formula1>0</formula1>
    </dataValidation>
    <dataValidation type="decimal" operator="greaterThan" allowBlank="1" showInputMessage="1" showErrorMessage="1" error="This value must be a number greater than zero (0 psi). If the pressure was zero psi, enter 0.01._x000a_Please re-enter the pressure." sqref="E237:E241">
      <formula1>0</formula1>
    </dataValidation>
    <dataValidation type="whole" allowBlank="1" showInputMessage="1" showErrorMessage="1" sqref="E116 E58 E17 E21 E78 E74 E70 E66 E62">
      <formula1>1</formula1>
      <formula2>3</formula2>
    </dataValidation>
    <dataValidation type="whole" allowBlank="1" showInputMessage="1" showErrorMessage="1" sqref="E98 E93 E88 E27 E83">
      <formula1>1</formula1>
      <formula2>4</formula2>
    </dataValidation>
    <dataValidation type="whole" allowBlank="1" showInputMessage="1" showErrorMessage="1" error="This value needs to be a whole number between 0 and 100%. _x000a_Please re-enter the percentage of applied water that runs off the field." sqref="E24">
      <formula1>0</formula1>
      <formula2>100</formula2>
    </dataValidation>
    <dataValidation type="decimal" allowBlank="1" showInputMessage="1" showErrorMessage="1" error="This value is too high. Please re-enter the nominal flow rate." sqref="E36">
      <formula1>0</formula1>
      <formula2>20</formula2>
    </dataValidation>
    <dataValidation type="decimal" operator="greaterThanOrEqual" allowBlank="1" showErrorMessage="1" error="This value must be a number greater than or equal to 1. _x000a_Please re-enter the number of models/emitter designs used in the system." sqref="E25">
      <formula1>1</formula1>
    </dataValidation>
    <dataValidation type="decimal" operator="greaterThanOrEqual" allowBlank="1" showInputMessage="1" showErrorMessage="1" error="This value must be a number greater than or equal to zero. _x000a_Please re-enter the loss from throttled manual valves." sqref="E133">
      <formula1>0</formula1>
    </dataValidation>
    <dataValidation type="decimal" operator="greaterThanOrEqual" allowBlank="1" showInputMessage="1" showErrorMessage="1" error="This value must be a number greater than or equal to zero. _x000a_Please re-enter the pressure downstream of filters and control valves." sqref="E128">
      <formula1>0</formula1>
    </dataValidation>
    <dataValidation type="whole" operator="greaterThanOrEqual" allowBlank="1" showInputMessage="1" showErrorMessage="1" error="This value must be a whole number greater than or equal to zero (zero means none). _x000a_Please re-enter the numberof automatic pressure control valves near the filter and pump." sqref="E136">
      <formula1>0</formula1>
    </dataValidation>
    <dataValidation type="decimal" operator="greaterThan" allowBlank="1" showInputMessage="1" showErrorMessage="1" error="This value must be a number greater than zero. _x000a_Please re-enter the number of emitters that supply water to each plant." sqref="E253">
      <formula1>0</formula1>
    </dataValidation>
    <dataValidation type="decimal" operator="greaterThan" allowBlank="1" showInputMessage="1" showErrorMessage="1" error="This value must be a number greater than zero. _x000a_Please re-enter the nominal flow rate." sqref="E35">
      <formula1>0</formula1>
    </dataValidation>
    <dataValidation type="decimal" operator="greaterThanOrEqual" allowBlank="1" showInputMessage="1" showErrorMessage="1" error="This value must be a number greater than or equal to zero. _x000a_Please re-enter the total pump control valve loss." sqref="E132">
      <formula1>0</formula1>
    </dataValidation>
    <dataValidation type="decimal" operator="greaterThanOrEqual" allowBlank="1" showInputMessage="1" showErrorMessage="1" error="This value shouustd be a positive number. _x000a_Please re-enter the time some emitters run after most emitters stop." sqref="E560">
      <formula1>0</formula1>
    </dataValidation>
    <dataValidation type="decimal" operator="greaterThanOrEqual" allowBlank="1" showInputMessage="1" showErrorMessage="1" error="This value must be a number greater than or equal to zero. _x000a_Please re-enter the pump discharge pressure." sqref="E127">
      <formula1>0</formula1>
    </dataValidation>
    <dataValidation type="decimal" operator="greaterThanOrEqual" allowBlank="1" showInputMessage="1" showErrorMessage="1" error="This value must be a number greater than or equal to zero. _x000a_Please re-enter the total filter loss." sqref="E131">
      <formula1>0</formula1>
    </dataValidation>
    <dataValidation type="decimal" operator="greaterThan" allowBlank="1" showInputMessage="1" showErrorMessage="1" error="This value must be a number greater than zero. _x000a_Please re-enter the hose pressure at emitters." sqref="E377">
      <formula1>0</formula1>
    </dataValidation>
    <dataValidation type="decimal" operator="greaterThanOrEqual" allowBlank="1" showInputMessage="1" showErrorMessage="1" error="This value must be a number greater than or equal to zero. _x000a_Please re-enter the volume of water accumulated from all emitters." sqref="E343">
      <formula1>0</formula1>
    </dataValidation>
    <dataValidation type="decimal" operator="greaterThan" allowBlank="1" showInputMessage="1" showErrorMessage="1" error="This value must be a number greater than zero._x000a_ Please re-enter the number of emitters." sqref="E345">
      <formula1>0</formula1>
    </dataValidation>
    <dataValidation type="decimal" operator="greaterThan" allowBlank="1" showInputMessage="1" showErrorMessage="1" error="This value must be a number greater than zero. _x000a_Please re-enter the number of emitters." sqref="E327 E336">
      <formula1>0</formula1>
    </dataValidation>
    <dataValidation type="decimal" operator="greaterThan" allowBlank="1" showInputMessage="1" showErrorMessage="1" error="This value must be a number greater than zero. _x000a_Please re-enter the hose pressure at emitters." sqref="E324 E333 E352">
      <formula1>0</formula1>
    </dataValidation>
    <dataValidation type="decimal" operator="greaterThan" allowBlank="1" showInputMessage="1" showErrorMessage="1" error="This value must be a number greater than zero. _x000a_Please re-enter the hose pressure at emitters." sqref="E342">
      <formula1>0</formula1>
    </dataValidation>
    <dataValidation type="decimal" operator="greaterThan" allowBlank="1" showInputMessage="1" showErrorMessage="1" error="This value must be a number greater than zero. _x000a_Please re-enter the collection time." sqref="E376">
      <formula1>0</formula1>
    </dataValidation>
    <dataValidation type="decimal" operator="greaterThan" allowBlank="1" showInputMessage="1" showErrorMessage="1" error="This value must be a number greater than zero. _x000a_Please re-enter the acres in Area 1." sqref="E413">
      <formula1>0</formula1>
    </dataValidation>
    <dataValidation type="decimal" operator="greaterThanOrEqual" allowBlank="1" showInputMessage="1" showErrorMessage="1" error="This valuemust be a positive, whole number. For example, if the spacing was 5' by 10', enter 50. _x000a_Please re-enter the area per plant  in Area 1." sqref="E414">
      <formula1>0</formula1>
    </dataValidation>
    <dataValidation type="decimal" errorStyle="warning" operator="greaterThanOrEqual" allowBlank="1" showInputMessage="1" showErrorMessage="1" error="This value must be a positive number. The minimum value for this field is 1. _x000a_Please re-enter the number of emitters per plant in Area 1." sqref="E416">
      <formula1>1</formula1>
    </dataValidation>
    <dataValidation type="decimal" operator="greaterThanOrEqual" allowBlank="1" showInputMessage="1" showErrorMessage="1" error="This valuemust be a number greater than zero. _x000a_Please re-enter the over-ride flow rate in Area 1." sqref="E424">
      <formula1>0</formula1>
    </dataValidation>
    <dataValidation type="decimal" operator="greaterThanOrEqual" allowBlank="1" showInputMessage="1" showErrorMessage="1" error="This valuemust be a number greater than zero. _x000a_Please re-enter the over-ride flow rate in Area 1." sqref="E478">
      <formula1>0</formula1>
    </dataValidation>
    <dataValidation type="decimal" operator="greaterThanOrEqual" allowBlank="1" showInputMessage="1" showErrorMessage="1" error="This value must be a positive, whole number. For example, if the wetted area had a 3' radius, enter 28 (3.14*(3^2)). _x000a_Please re-enter the wetted soil area per emitter  in Area 1." sqref="E431">
      <formula1>0</formula1>
    </dataValidation>
    <dataValidation type="decimal" operator="greaterThan" allowBlank="1" showInputMessage="1" showErrorMessage="1" error="This value must be a number greater than zero. _x000a_Please re-enter the root zone AWHC in Area 1." sqref="E432">
      <formula1>0</formula1>
    </dataValidation>
    <dataValidation type="decimal" operator="greaterThan" allowBlank="1" showInputMessage="1" showErrorMessage="1" error="This valuemust be a number greater than zero. _x000a_Please re-enter the set duration during peak ET in Area 1." sqref="E434">
      <formula1>0</formula1>
    </dataValidation>
    <dataValidation type="decimal" operator="greaterThan" allowBlank="1" showInputMessage="1" showErrorMessage="1" error="This value must be a number greater than zero. _x000a_Please re-enter the set duration during peak ET in Area 3." sqref="E488">
      <formula1>0</formula1>
    </dataValidation>
    <dataValidation type="decimal" operator="greaterThan" allowBlank="1" showInputMessage="1" showErrorMessage="1" error="This value must be a number greater than zero. _x000a_Please re-enter the irrigation frequency during peak ET in Area 3." sqref="E489">
      <formula1>0</formula1>
    </dataValidation>
    <dataValidation type="decimal" operator="greaterThan" allowBlank="1" showInputMessage="1" showErrorMessage="1" error="This value must be a number greater than zero. _x000a_Please re-enter the crop ET during peak ET in Area 1." sqref="E437">
      <formula1>0</formula1>
    </dataValidation>
    <dataValidation type="decimal" operator="greaterThan" allowBlank="1" showInputMessage="1" showErrorMessage="1" error="This value must be a number greater than zero. _x000a_Please re-enter the irrigation frequency during peak ET in Area 1." sqref="E435">
      <formula1>0</formula1>
    </dataValidation>
    <dataValidation type="decimal" operator="greaterThanOrEqual" allowBlank="1" showInputMessage="1" showErrorMessage="1" error="This value must be a a number greater than zero. _x000a_Please re-enter the acres in Area 2." sqref="E440">
      <formula1>0</formula1>
    </dataValidation>
    <dataValidation type="decimal" operator="greaterThanOrEqual" allowBlank="1" showInputMessage="1" showErrorMessage="1" error="This value must be a positive, whole number. For example, if the spacing was 5' by 10', enter 50. _x000a_Please re-enter the area per plant  in Area 2." sqref="E441">
      <formula1>0</formula1>
    </dataValidation>
    <dataValidation type="decimal" errorStyle="warning" operator="greaterThanOrEqual" allowBlank="1" showInputMessage="1" showErrorMessage="1" error="This value must be a positive number. The minimum value for this field is 1. _x000a_Please re-enter the number of emitters per plant in Area 2." sqref="E443">
      <formula1>1</formula1>
    </dataValidation>
    <dataValidation type="decimal" operator="greaterThanOrEqual" allowBlank="1" showInputMessage="1" showErrorMessage="1" error="This value must be a positive, whole number. For example, if the wetted area had a 3' radius, enter 28 (3.14*(3^2)). _x000a_Please re-enter the wetted soil area per emitter  in Area 2." sqref="E458">
      <formula1>0</formula1>
    </dataValidation>
    <dataValidation type="decimal" operator="greaterThan" allowBlank="1" showInputMessage="1" showErrorMessage="1" error="This value must be a number greater than zero. _x000a_Please re-enter the root zone AWHC in Area 2." sqref="E459">
      <formula1>0</formula1>
    </dataValidation>
    <dataValidation type="decimal" operator="greaterThan" allowBlank="1" showInputMessage="1" showErrorMessage="1" error="This value must be a number greater than zero. _x000a_Please re-enter the set duration during peak ET in Area 2." sqref="E461">
      <formula1>0</formula1>
    </dataValidation>
    <dataValidation type="decimal" operator="greaterThan" allowBlank="1" showInputMessage="1" showErrorMessage="1" error="This value must be a number greater than zero. _x000a_Please re-enter the irrigation frequency during peak ET in Area 2." sqref="E462">
      <formula1>0</formula1>
    </dataValidation>
    <dataValidation type="decimal" operator="greaterThan" allowBlank="1" showInputMessage="1" showErrorMessage="1" error="This valuemust be a number greater than zero. _x000a_Please re-enter the crop ET during peak ET in Area 2." sqref="E464">
      <formula1>0</formula1>
    </dataValidation>
    <dataValidation type="decimal" operator="greaterThan" allowBlank="1" showInputMessage="1" showErrorMessage="1" error="This value must be a number greater than zero. _x000a_Please re-enter the acres in Area 3." sqref="E467">
      <formula1>0</formula1>
    </dataValidation>
    <dataValidation type="decimal" operator="greaterThanOrEqual" allowBlank="1" showInputMessage="1" showErrorMessage="1" error="This value must be a positive, whole number. For example, if the spacing was 5' by 10', enter 50. _x000a_Please re-enter the area per plant  in Area 3." sqref="E468">
      <formula1>0</formula1>
    </dataValidation>
    <dataValidation type="decimal" operator="greaterThanOrEqual" allowBlank="1" showInputMessage="1" showErrorMessage="1" error="This value must be a positive, whole number. For example, if the wetted area had a 3' radius, enter 28 (3.14*(3^2)). _x000a_Please re-enter the wetted soil area per emitter  in Area 3." sqref="E485">
      <formula1>0</formula1>
    </dataValidation>
    <dataValidation type="decimal" operator="greaterThan" allowBlank="1" showInputMessage="1" showErrorMessage="1" error="This value must be a number greater than zero. _x000a_Please re-enter the root zone AWHC in Area 3." sqref="E486">
      <formula1>0</formula1>
    </dataValidation>
    <dataValidation type="decimal" operator="greaterThan" allowBlank="1" showInputMessage="1" showErrorMessage="1" error="This value must be a number greater than zero. _x000a_Please re-enter the crop ET during peak ET in Area 3." sqref="E491">
      <formula1>0</formula1>
    </dataValidation>
    <dataValidation type="decimal" operator="greaterThanOrEqual" allowBlank="1" showInputMessage="1" showErrorMessage="1" error="This value must be a positive number. _x000a_Please re-enter the flush time." sqref="E494">
      <formula1>0</formula1>
    </dataValidation>
    <dataValidation type="decimal" operator="greaterThanOrEqual" allowBlank="1" showInputMessage="1" showErrorMessage="1" error="This value must be anumber greater than zero. _x000a_Please re-enter the volume of water accumulated from all emitters." sqref="E316">
      <formula1>0</formula1>
    </dataValidation>
    <dataValidation type="decimal" operator="greaterThanOrEqual" allowBlank="1" showInputMessage="1" showErrorMessage="1" error="This value must be a number greater than or equal to zero. _x000a_Please re-enter the volume of water accumulated from all emitters." sqref="E334">
      <formula1>0</formula1>
    </dataValidation>
    <dataValidation type="decimal" operator="greaterThanOrEqual" allowBlank="1" showInputMessage="1" showErrorMessage="1" error="This value must be a number greater than zero. _x000a_Please re-enter the over-ride flow rate in Area 2." sqref="E451">
      <formula1>0</formula1>
    </dataValidation>
    <dataValidation type="decimal" errorStyle="warning" operator="greaterThan" allowBlank="1" showInputMessage="1" showErrorMessage="1" error="This value must be a number greater than or equal to zero. Only enter zero (0) if there was no flow through the emitter (fully plugged). Do not enter negative numbers." sqref="E379:E406 E354:E369 E295 E296:E310">
      <formula1>0</formula1>
    </dataValidation>
    <dataValidation type="decimal" operator="greaterThan" allowBlank="1" showInputMessage="1" showErrorMessage="1" error="This value must be a number greater than zero (0 psi). If the pressure was zero psi, enter 0.01._x000a_Please re-enter the pressure." sqref="E161 E162:E165 E167:E171 E175:E179 E181:E185 E189:E193 E195:E199 E203:E207 E209:E213 E217:E221 E223:E227 E231:E235">
      <formula1>0</formula1>
    </dataValidation>
    <dataValidation type="decimal" operator="greaterThanOrEqual" allowBlank="1" showInputMessage="1" showErrorMessage="1" error="This value must be a number greater than or equal to zero (0 psi). Please re-enter the pressure." sqref="E244">
      <formula1>0</formula1>
    </dataValidation>
    <dataValidation type="decimal" operator="greaterThanOrEqual" allowBlank="1" showInputMessage="1" showErrorMessage="1" error="This value must be a number greater than or equal to zero (0 psi). Please re-enter the pressure" sqref="E245:E248">
      <formula1>0</formula1>
    </dataValidation>
    <dataValidation type="decimal" operator="greaterThan" allowBlank="1" showInputMessage="1" showErrorMessage="1" error="This value must be a number greater than zero. _x000a_Please re-enter the collection time." sqref="E292 E314 E323 E332 E341 E351">
      <formula1>0</formula1>
    </dataValidation>
    <dataValidation type="decimal" operator="greaterThan" allowBlank="1" showInputMessage="1" showErrorMessage="1" error="This value must be a number greater than zero. _x000a_Please re-enter the hose pressure at emitters." sqref="E293 E315">
      <formula1>0</formula1>
    </dataValidation>
    <dataValidation type="decimal" operator="greaterThan" allowBlank="1" showInputMessage="1" showErrorMessage="1" error="This value must be a number greater than zero. _x000a_Please re-enter the number of emitters." sqref="E318">
      <formula1>0</formula1>
    </dataValidation>
    <dataValidation type="decimal" operator="greaterThanOrEqual" allowBlank="1" showInputMessage="1" showErrorMessage="1" error="This value must be a number greater than or equal to zero. _x000a_Please re-enter the volume of water accumulated from all emitters." sqref="E325">
      <formula1>0</formula1>
    </dataValidation>
  </dataValidations>
  <pageMargins left="0.75" right="0.25" top="0.75" bottom="0.75" header="0.3" footer="0.3"/>
  <pageSetup scale="82" orientation="portrait" cellComments="asDisplayed" horizontalDpi="300" verticalDpi="300" r:id="rId1"/>
  <headerFooter>
    <oddHeader>&amp;CDrip System DU Evaluation
Data Entry Sheet</oddHeader>
    <oddFooter>&amp;C&amp;F
Page &amp;P of &amp;N</oddFooter>
  </headerFooter>
  <rowBreaks count="8" manualBreakCount="8">
    <brk id="114" min="2" max="5" man="1"/>
    <brk id="179" min="2" max="5" man="1"/>
    <brk id="221" min="2" max="5" man="1"/>
    <brk id="260" min="2" max="5" man="1"/>
    <brk id="310" min="2" max="5" man="1"/>
    <brk id="364" min="2" max="5" man="1"/>
    <brk id="407" min="2" max="5" man="1"/>
    <brk id="465" min="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0</xdr:colOff>
                    <xdr:row>418</xdr:row>
                    <xdr:rowOff>0</xdr:rowOff>
                  </from>
                  <to>
                    <xdr:col>5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locked="0" defaultSize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locked="0" defaultSize="0" autoLine="0" autoPict="0">
                <anchor moveWithCells="1">
                  <from>
                    <xdr:col>4</xdr:col>
                    <xdr:colOff>0</xdr:colOff>
                    <xdr:row>445</xdr:row>
                    <xdr:rowOff>0</xdr:rowOff>
                  </from>
                  <to>
                    <xdr:col>5</xdr:col>
                    <xdr:colOff>0</xdr:colOff>
                    <xdr:row>446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locked="0" defaultSize="0" autoLine="0" autoPict="0">
                <anchor moveWithCells="1">
                  <from>
                    <xdr:col>4</xdr:col>
                    <xdr:colOff>0</xdr:colOff>
                    <xdr:row>472</xdr:row>
                    <xdr:rowOff>0</xdr:rowOff>
                  </from>
                  <to>
                    <xdr:col>5</xdr:col>
                    <xdr:colOff>0</xdr:colOff>
                    <xdr:row>473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locked="0" defaultSize="0" autoLine="0" autoPict="0">
                <anchor moveWithCells="1">
                  <from>
                    <xdr:col>4</xdr:col>
                    <xdr:colOff>0</xdr:colOff>
                    <xdr:row>137</xdr:row>
                    <xdr:rowOff>123825</xdr:rowOff>
                  </from>
                  <to>
                    <xdr:col>5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locked="0" defaultSize="0" autoLine="0" autoPict="0">
                <anchor moveWithCells="1">
                  <from>
                    <xdr:col>4</xdr:col>
                    <xdr:colOff>0</xdr:colOff>
                    <xdr:row>142</xdr:row>
                    <xdr:rowOff>123825</xdr:rowOff>
                  </from>
                  <to>
                    <xdr:col>5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locked="0" defaultSize="0" autoLine="0" autoPict="0">
                <anchor moveWithCells="1">
                  <from>
                    <xdr:col>4</xdr:col>
                    <xdr:colOff>0</xdr:colOff>
                    <xdr:row>147</xdr:row>
                    <xdr:rowOff>114300</xdr:rowOff>
                  </from>
                  <to>
                    <xdr:col>5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Drop Down 13">
              <controlPr locked="0" defaultSize="0" autoLine="0" autoPict="0">
                <anchor moveWithCells="1">
                  <from>
                    <xdr:col>4</xdr:col>
                    <xdr:colOff>0</xdr:colOff>
                    <xdr:row>148</xdr:row>
                    <xdr:rowOff>0</xdr:rowOff>
                  </from>
                  <to>
                    <xdr:col>5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Drop Down 14">
              <controlPr locked="0" defaultSize="0" autoLine="0" autoPict="0">
                <anchor moveWithCells="1">
                  <from>
                    <xdr:col>4</xdr:col>
                    <xdr:colOff>0</xdr:colOff>
                    <xdr:row>52</xdr:row>
                    <xdr:rowOff>0</xdr:rowOff>
                  </from>
                  <to>
                    <xdr:col>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Drop Down 15">
              <controlPr locked="0" defaultSize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Drop Down 21">
              <controlPr locked="0" defaultSize="0" autoLine="0" autoPict="0">
                <anchor moveWithCells="1">
                  <from>
                    <xdr:col>4</xdr:col>
                    <xdr:colOff>0</xdr:colOff>
                    <xdr:row>82</xdr:row>
                    <xdr:rowOff>0</xdr:rowOff>
                  </from>
                  <to>
                    <xdr:col>5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Drop Down 25">
              <controlPr locked="0" defaultSize="0" autoLine="0" autoPict="0">
                <anchor moveWithCells="1">
                  <from>
                    <xdr:col>4</xdr:col>
                    <xdr:colOff>0</xdr:colOff>
                    <xdr:row>102</xdr:row>
                    <xdr:rowOff>0</xdr:rowOff>
                  </from>
                  <to>
                    <xdr:col>5</xdr:col>
                    <xdr:colOff>9525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Drop Down 26">
              <controlPr locked="0" defaultSize="0" autoLine="0" autoPict="0">
                <anchor moveWithCells="1">
                  <from>
                    <xdr:col>4</xdr:col>
                    <xdr:colOff>0</xdr:colOff>
                    <xdr:row>116</xdr:row>
                    <xdr:rowOff>0</xdr:rowOff>
                  </from>
                  <to>
                    <xdr:col>5</xdr:col>
                    <xdr:colOff>9525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Drop Down 27">
              <controlPr locked="0" defaultSize="0" autoLine="0" autoPict="0">
                <anchor moveWithCells="1">
                  <from>
                    <xdr:col>4</xdr:col>
                    <xdr:colOff>0</xdr:colOff>
                    <xdr:row>496</xdr:row>
                    <xdr:rowOff>0</xdr:rowOff>
                  </from>
                  <to>
                    <xdr:col>5</xdr:col>
                    <xdr:colOff>0</xdr:colOff>
                    <xdr:row>497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Drop Down 35">
              <controlPr locked="0" defaultSize="0" autoLine="0" autoPict="0">
                <anchor moveWithCells="1">
                  <from>
                    <xdr:col>4</xdr:col>
                    <xdr:colOff>0</xdr:colOff>
                    <xdr:row>552</xdr:row>
                    <xdr:rowOff>123825</xdr:rowOff>
                  </from>
                  <to>
                    <xdr:col>5</xdr:col>
                    <xdr:colOff>0</xdr:colOff>
                    <xdr:row>553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Drop Down 36">
              <controlPr locked="0" defaultSize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Drop Down 38">
              <controlPr locked="0" defaultSize="0" autoLine="0" autoPict="0">
                <anchor moveWithCells="1">
                  <from>
                    <xdr:col>4</xdr:col>
                    <xdr:colOff>0</xdr:colOff>
                    <xdr:row>265</xdr:row>
                    <xdr:rowOff>438150</xdr:rowOff>
                  </from>
                  <to>
                    <xdr:col>5</xdr:col>
                    <xdr:colOff>0</xdr:colOff>
                    <xdr:row>265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Drop Down 39">
              <controlPr locked="0" defaultSize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Drop Down 40">
              <controlPr locked="0" defaultSize="0" autoLine="0" autoPict="0">
                <anchor moveWithCells="1">
                  <from>
                    <xdr:col>4</xdr:col>
                    <xdr:colOff>0</xdr:colOff>
                    <xdr:row>270</xdr:row>
                    <xdr:rowOff>133350</xdr:rowOff>
                  </from>
                  <to>
                    <xdr:col>5</xdr:col>
                    <xdr:colOff>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Drop Down 41">
              <controlPr locked="0" defaultSize="0" autoLine="0" autoPict="0">
                <anchor moveWithCells="1">
                  <from>
                    <xdr:col>4</xdr:col>
                    <xdr:colOff>0</xdr:colOff>
                    <xdr:row>275</xdr:row>
                    <xdr:rowOff>133350</xdr:rowOff>
                  </from>
                  <to>
                    <xdr:col>5</xdr:col>
                    <xdr:colOff>0</xdr:colOff>
                    <xdr:row>275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Drop Down 42">
              <controlPr locked="0" defaultSize="0" autoLine="0" autoPict="0">
                <anchor moveWithCells="1">
                  <from>
                    <xdr:col>4</xdr:col>
                    <xdr:colOff>0</xdr:colOff>
                    <xdr:row>58</xdr:row>
                    <xdr:rowOff>0</xdr:rowOff>
                  </from>
                  <to>
                    <xdr:col>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Drop Down 43">
              <controlPr locked="0" defaultSize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Drop Down 44">
              <controlPr locked="0" defaultSize="0" autoLine="0" autoPict="0">
                <anchor moveWithCells="1">
                  <from>
                    <xdr:col>4</xdr:col>
                    <xdr:colOff>0</xdr:colOff>
                    <xdr:row>66</xdr:row>
                    <xdr:rowOff>0</xdr:rowOff>
                  </from>
                  <to>
                    <xdr:col>5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Drop Down 45">
              <controlPr locked="0" defaultSize="0" autoLine="0" autoPict="0">
                <anchor moveWithCells="1">
                  <from>
                    <xdr:col>4</xdr:col>
                    <xdr:colOff>0</xdr:colOff>
                    <xdr:row>70</xdr:row>
                    <xdr:rowOff>0</xdr:rowOff>
                  </from>
                  <to>
                    <xdr:col>5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Drop Down 46">
              <controlPr locked="0" defaultSize="0" autoLine="0" autoPict="0">
                <anchor moveWithCells="1">
                  <from>
                    <xdr:col>4</xdr:col>
                    <xdr:colOff>0</xdr:colOff>
                    <xdr:row>74</xdr:row>
                    <xdr:rowOff>0</xdr:rowOff>
                  </from>
                  <to>
                    <xdr:col>5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Drop Down 48">
              <controlPr locked="0" defaultSize="0" autoLine="0" autoPict="0">
                <anchor moveWithCells="1">
                  <from>
                    <xdr:col>4</xdr:col>
                    <xdr:colOff>0</xdr:colOff>
                    <xdr:row>115</xdr:row>
                    <xdr:rowOff>114300</xdr:rowOff>
                  </from>
                  <to>
                    <xdr:col>5</xdr:col>
                    <xdr:colOff>9525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Drop Down 49">
              <controlPr locked="0" defaultSize="0" autoLine="0" autoPict="0">
                <anchor moveWithCells="1">
                  <from>
                    <xdr:col>4</xdr:col>
                    <xdr:colOff>0</xdr:colOff>
                    <xdr:row>102</xdr:row>
                    <xdr:rowOff>0</xdr:rowOff>
                  </from>
                  <to>
                    <xdr:col>5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Drop Down 50">
              <controlPr locked="0" defaultSize="0" autoLine="0" autoPict="0">
                <anchor moveWithCells="1">
                  <from>
                    <xdr:col>4</xdr:col>
                    <xdr:colOff>0</xdr:colOff>
                    <xdr:row>503</xdr:row>
                    <xdr:rowOff>0</xdr:rowOff>
                  </from>
                  <to>
                    <xdr:col>5</xdr:col>
                    <xdr:colOff>0</xdr:colOff>
                    <xdr:row>509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Drop Down 51">
              <controlPr locked="0" defaultSize="0" autoLine="0" autoPict="0">
                <anchor moveWithCells="1">
                  <from>
                    <xdr:col>4</xdr:col>
                    <xdr:colOff>0</xdr:colOff>
                    <xdr:row>497</xdr:row>
                    <xdr:rowOff>0</xdr:rowOff>
                  </from>
                  <to>
                    <xdr:col>5</xdr:col>
                    <xdr:colOff>0</xdr:colOff>
                    <xdr:row>503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Drop Down 52">
              <controlPr locked="0" defaultSize="0" autoLine="0" autoPict="0">
                <anchor moveWithCells="1">
                  <from>
                    <xdr:col>4</xdr:col>
                    <xdr:colOff>0</xdr:colOff>
                    <xdr:row>516</xdr:row>
                    <xdr:rowOff>0</xdr:rowOff>
                  </from>
                  <to>
                    <xdr:col>5</xdr:col>
                    <xdr:colOff>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5" name="Drop Down 53">
              <controlPr locked="0" defaultSize="0" autoLine="0" autoPict="0">
                <anchor moveWithCells="1">
                  <from>
                    <xdr:col>4</xdr:col>
                    <xdr:colOff>0</xdr:colOff>
                    <xdr:row>517</xdr:row>
                    <xdr:rowOff>0</xdr:rowOff>
                  </from>
                  <to>
                    <xdr:col>5</xdr:col>
                    <xdr:colOff>0</xdr:colOff>
                    <xdr:row>523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6" name="Drop Down 54">
              <controlPr locked="0" defaultSize="0" autoLine="0" autoPict="0">
                <anchor moveWithCells="1">
                  <from>
                    <xdr:col>4</xdr:col>
                    <xdr:colOff>0</xdr:colOff>
                    <xdr:row>523</xdr:row>
                    <xdr:rowOff>0</xdr:rowOff>
                  </from>
                  <to>
                    <xdr:col>5</xdr:col>
                    <xdr:colOff>0</xdr:colOff>
                    <xdr:row>529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7" name="Drop Down 55">
              <controlPr locked="0" defaultSize="0" autoLine="0" autoPict="0">
                <anchor moveWithCells="1">
                  <from>
                    <xdr:col>4</xdr:col>
                    <xdr:colOff>0</xdr:colOff>
                    <xdr:row>535</xdr:row>
                    <xdr:rowOff>0</xdr:rowOff>
                  </from>
                  <to>
                    <xdr:col>5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8" name="Drop Down 56">
              <controlPr locked="0" defaultSize="0" autoLine="0" autoPict="0">
                <anchor moveWithCells="1">
                  <from>
                    <xdr:col>4</xdr:col>
                    <xdr:colOff>0</xdr:colOff>
                    <xdr:row>541</xdr:row>
                    <xdr:rowOff>0</xdr:rowOff>
                  </from>
                  <to>
                    <xdr:col>5</xdr:col>
                    <xdr:colOff>0</xdr:colOff>
                    <xdr:row>547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Drop Down 57">
              <controlPr locked="0" defaultSize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0" name="Drop Down 111">
              <controlPr locked="0" defaultSize="0" autoLine="0" autoPict="0">
                <anchor moveWithCells="1">
                  <from>
                    <xdr:col>4</xdr:col>
                    <xdr:colOff>0</xdr:colOff>
                    <xdr:row>83</xdr:row>
                    <xdr:rowOff>0</xdr:rowOff>
                  </from>
                  <to>
                    <xdr:col>5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1" name="Drop Down 112">
              <controlPr locked="0" defaultSize="0" autoLine="0" autoPict="0">
                <anchor moveWithCells="1">
                  <from>
                    <xdr:col>4</xdr:col>
                    <xdr:colOff>0</xdr:colOff>
                    <xdr:row>88</xdr:row>
                    <xdr:rowOff>0</xdr:rowOff>
                  </from>
                  <to>
                    <xdr:col>5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2" name="Drop Down 113">
              <controlPr locked="0" defaultSize="0" autoLine="0" autoPict="0">
                <anchor moveWithCells="1">
                  <from>
                    <xdr:col>4</xdr:col>
                    <xdr:colOff>0</xdr:colOff>
                    <xdr:row>93</xdr:row>
                    <xdr:rowOff>0</xdr:rowOff>
                  </from>
                  <to>
                    <xdr:col>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3" name="Drop Down 114">
              <controlPr locked="0" defaultSize="0" autoLine="0" autoPict="0">
                <anchor moveWithCells="1">
                  <from>
                    <xdr:col>4</xdr:col>
                    <xdr:colOff>0</xdr:colOff>
                    <xdr:row>108</xdr:row>
                    <xdr:rowOff>0</xdr:rowOff>
                  </from>
                  <to>
                    <xdr:col>5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4" name="Drop Down 115">
              <controlPr locked="0" defaultSize="0" autoLine="0" autoPict="0">
                <anchor moveWithCells="1">
                  <from>
                    <xdr:col>4</xdr:col>
                    <xdr:colOff>0</xdr:colOff>
                    <xdr:row>529</xdr:row>
                    <xdr:rowOff>0</xdr:rowOff>
                  </from>
                  <to>
                    <xdr:col>5</xdr:col>
                    <xdr:colOff>0</xdr:colOff>
                    <xdr:row>535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5" name="Drop Down 128">
              <controlPr locked="0" defaultSize="0" autoLine="0" autoPict="0">
                <anchor moveWithCells="1">
                  <from>
                    <xdr:col>4</xdr:col>
                    <xdr:colOff>0</xdr:colOff>
                    <xdr:row>424</xdr:row>
                    <xdr:rowOff>0</xdr:rowOff>
                  </from>
                  <to>
                    <xdr:col>5</xdr:col>
                    <xdr:colOff>0</xdr:colOff>
                    <xdr:row>426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6" name="Drop Down 129">
              <controlPr locked="0" defaultSize="0" autoLine="0" autoPict="0">
                <anchor moveWithCells="1">
                  <from>
                    <xdr:col>4</xdr:col>
                    <xdr:colOff>0</xdr:colOff>
                    <xdr:row>478</xdr:row>
                    <xdr:rowOff>0</xdr:rowOff>
                  </from>
                  <to>
                    <xdr:col>5</xdr:col>
                    <xdr:colOff>0</xdr:colOff>
                    <xdr:row>480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7" name="Drop Down 130">
              <controlPr locked="0" defaultSize="0" autoLine="0" autoPict="0">
                <anchor moveWithCells="1">
                  <from>
                    <xdr:col>4</xdr:col>
                    <xdr:colOff>0</xdr:colOff>
                    <xdr:row>451</xdr:row>
                    <xdr:rowOff>0</xdr:rowOff>
                  </from>
                  <to>
                    <xdr:col>5</xdr:col>
                    <xdr:colOff>0</xdr:colOff>
                    <xdr:row>453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8" name="Drop Down 137">
              <controlPr locked="0" defaultSize="0" autoLine="0" autoPict="0">
                <anchor moveWithCells="1">
                  <from>
                    <xdr:col>5</xdr:col>
                    <xdr:colOff>0</xdr:colOff>
                    <xdr:row>416</xdr:row>
                    <xdr:rowOff>0</xdr:rowOff>
                  </from>
                  <to>
                    <xdr:col>6</xdr:col>
                    <xdr:colOff>0</xdr:colOff>
                    <xdr:row>417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9" name="Drop Down 138">
              <controlPr locked="0" defaultSize="0" autoLine="0" autoPict="0">
                <anchor moveWithCells="1">
                  <from>
                    <xdr:col>5</xdr:col>
                    <xdr:colOff>0</xdr:colOff>
                    <xdr:row>443</xdr:row>
                    <xdr:rowOff>0</xdr:rowOff>
                  </from>
                  <to>
                    <xdr:col>6</xdr:col>
                    <xdr:colOff>0</xdr:colOff>
                    <xdr:row>445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0" name="Drop Down 139">
              <controlPr locked="0" defaultSize="0" autoLine="0" autoPict="0">
                <anchor moveWithCells="1">
                  <from>
                    <xdr:col>5</xdr:col>
                    <xdr:colOff>0</xdr:colOff>
                    <xdr:row>470</xdr:row>
                    <xdr:rowOff>0</xdr:rowOff>
                  </from>
                  <to>
                    <xdr:col>6</xdr:col>
                    <xdr:colOff>0</xdr:colOff>
                    <xdr:row>471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1" name="Drop Down 141">
              <controlPr locked="0" defaultSize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9525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2" name="Drop Down 143">
              <controlPr locked="0" defaultSize="0" autoLine="0" autoPict="0">
                <anchor moveWithCells="1">
                  <from>
                    <xdr:col>4</xdr:col>
                    <xdr:colOff>0</xdr:colOff>
                    <xdr:row>3</xdr:row>
                    <xdr:rowOff>9525</xdr:rowOff>
                  </from>
                  <to>
                    <xdr:col>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3" name="Drop Down 144">
              <controlPr locked="0" defaultSize="0" autoLine="0" autoPict="0">
                <anchor moveWithCells="1">
                  <from>
                    <xdr:col>4</xdr:col>
                    <xdr:colOff>0</xdr:colOff>
                    <xdr:row>6</xdr:row>
                    <xdr:rowOff>9525</xdr:rowOff>
                  </from>
                  <to>
                    <xdr:col>5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8"/>
  <sheetViews>
    <sheetView topLeftCell="A47" zoomScaleNormal="100" workbookViewId="0">
      <selection activeCell="F198" sqref="F198"/>
    </sheetView>
  </sheetViews>
  <sheetFormatPr defaultColWidth="9.140625" defaultRowHeight="14.25" x14ac:dyDescent="0.2"/>
  <cols>
    <col min="1" max="1" width="9.140625" style="4"/>
    <col min="2" max="2" width="15" style="4" customWidth="1"/>
    <col min="3" max="4" width="9.140625" style="4"/>
    <col min="5" max="5" width="13.42578125" style="4" customWidth="1"/>
    <col min="6" max="16384" width="9.140625" style="4"/>
  </cols>
  <sheetData>
    <row r="1" spans="1:12" ht="46.5" customHeight="1" x14ac:dyDescent="0.2">
      <c r="B1" s="6" t="s">
        <v>6</v>
      </c>
      <c r="D1" s="6" t="s">
        <v>14</v>
      </c>
      <c r="F1" s="175" t="s">
        <v>467</v>
      </c>
      <c r="H1" s="1"/>
      <c r="I1" s="1"/>
      <c r="J1" s="1"/>
      <c r="K1" s="1"/>
      <c r="L1" s="1"/>
    </row>
    <row r="2" spans="1:12" ht="61.5" customHeight="1" x14ac:dyDescent="0.2">
      <c r="A2" s="4">
        <v>1</v>
      </c>
      <c r="B2" s="7" t="s">
        <v>111</v>
      </c>
      <c r="C2" s="4">
        <v>1</v>
      </c>
      <c r="D2" s="7" t="s">
        <v>111</v>
      </c>
      <c r="F2" s="175" t="s">
        <v>8</v>
      </c>
      <c r="H2" s="1"/>
      <c r="I2" s="1"/>
      <c r="J2" s="1"/>
      <c r="K2" s="1"/>
      <c r="L2" s="1"/>
    </row>
    <row r="3" spans="1:12" x14ac:dyDescent="0.2">
      <c r="A3" s="4">
        <v>2</v>
      </c>
      <c r="B3" s="8" t="s">
        <v>57</v>
      </c>
      <c r="C3" s="4">
        <v>2</v>
      </c>
      <c r="D3" s="8" t="s">
        <v>15</v>
      </c>
      <c r="F3" s="175" t="s">
        <v>57</v>
      </c>
      <c r="H3" s="1"/>
      <c r="I3" s="1"/>
      <c r="J3" s="1"/>
      <c r="K3" s="1"/>
      <c r="L3" s="1"/>
    </row>
    <row r="4" spans="1:12" x14ac:dyDescent="0.2">
      <c r="A4" s="4">
        <v>3</v>
      </c>
      <c r="B4" s="8" t="s">
        <v>8</v>
      </c>
      <c r="C4" s="4">
        <v>3</v>
      </c>
      <c r="D4" s="9" t="s">
        <v>16</v>
      </c>
      <c r="H4" s="1"/>
      <c r="I4" s="1"/>
      <c r="J4" s="1"/>
      <c r="K4" s="1"/>
      <c r="L4" s="1"/>
    </row>
    <row r="5" spans="1:12" x14ac:dyDescent="0.2">
      <c r="A5" s="4">
        <v>4</v>
      </c>
      <c r="B5" s="9" t="s">
        <v>453</v>
      </c>
      <c r="D5" s="1"/>
      <c r="H5" s="1"/>
      <c r="I5" s="1"/>
      <c r="J5" s="1"/>
      <c r="K5" s="1"/>
      <c r="L5" s="1"/>
    </row>
    <row r="6" spans="1:12" x14ac:dyDescent="0.2">
      <c r="H6" s="1"/>
      <c r="I6" s="1"/>
      <c r="J6" s="1"/>
      <c r="K6" s="1"/>
      <c r="L6" s="1"/>
    </row>
    <row r="7" spans="1:12" ht="54.75" customHeight="1" x14ac:dyDescent="0.2">
      <c r="B7" s="10" t="s">
        <v>7</v>
      </c>
      <c r="C7" s="3"/>
      <c r="D7" s="11"/>
      <c r="H7" s="1"/>
      <c r="I7" s="1"/>
      <c r="J7" s="1"/>
      <c r="K7" s="1"/>
      <c r="L7" s="1"/>
    </row>
    <row r="8" spans="1:12" ht="32.25" customHeight="1" x14ac:dyDescent="0.2">
      <c r="A8" s="4">
        <v>1</v>
      </c>
      <c r="B8" s="12" t="s">
        <v>111</v>
      </c>
      <c r="C8" s="1"/>
      <c r="D8" s="13"/>
      <c r="H8" s="1"/>
      <c r="I8" s="1"/>
      <c r="J8" s="1"/>
      <c r="K8" s="1"/>
      <c r="L8" s="1"/>
    </row>
    <row r="9" spans="1:12" x14ac:dyDescent="0.2">
      <c r="A9" s="4">
        <v>2</v>
      </c>
      <c r="B9" s="14" t="s">
        <v>58</v>
      </c>
      <c r="C9" s="1"/>
      <c r="D9" s="13"/>
    </row>
    <row r="10" spans="1:12" x14ac:dyDescent="0.2">
      <c r="A10" s="4">
        <v>3</v>
      </c>
      <c r="B10" s="14" t="s">
        <v>59</v>
      </c>
      <c r="C10" s="1"/>
      <c r="D10" s="13"/>
    </row>
    <row r="11" spans="1:12" x14ac:dyDescent="0.2">
      <c r="A11" s="4">
        <v>4</v>
      </c>
      <c r="B11" s="14" t="s">
        <v>60</v>
      </c>
      <c r="C11" s="1"/>
      <c r="D11" s="13"/>
    </row>
    <row r="12" spans="1:12" x14ac:dyDescent="0.2">
      <c r="A12" s="4">
        <v>5</v>
      </c>
      <c r="B12" s="14" t="s">
        <v>462</v>
      </c>
      <c r="C12" s="1"/>
      <c r="D12" s="13"/>
    </row>
    <row r="13" spans="1:12" x14ac:dyDescent="0.2">
      <c r="A13" s="4">
        <v>6</v>
      </c>
      <c r="B13" s="14" t="s">
        <v>61</v>
      </c>
      <c r="C13" s="1"/>
      <c r="D13" s="13"/>
    </row>
    <row r="14" spans="1:12" x14ac:dyDescent="0.2">
      <c r="A14" s="4">
        <v>7</v>
      </c>
      <c r="B14" s="14" t="s">
        <v>463</v>
      </c>
      <c r="C14" s="1"/>
      <c r="D14" s="13"/>
    </row>
    <row r="15" spans="1:12" x14ac:dyDescent="0.2">
      <c r="A15" s="4">
        <v>8</v>
      </c>
      <c r="B15" s="14" t="s">
        <v>464</v>
      </c>
      <c r="C15" s="1"/>
      <c r="D15" s="13"/>
    </row>
    <row r="16" spans="1:12" x14ac:dyDescent="0.2">
      <c r="A16" s="4">
        <v>9</v>
      </c>
      <c r="B16" s="15" t="s">
        <v>99</v>
      </c>
      <c r="C16" s="2"/>
      <c r="D16" s="16"/>
    </row>
    <row r="18" spans="1:3" ht="42.75" x14ac:dyDescent="0.2">
      <c r="B18" s="10" t="s">
        <v>244</v>
      </c>
      <c r="C18" s="11"/>
    </row>
    <row r="19" spans="1:3" ht="28.5" x14ac:dyDescent="0.2">
      <c r="A19" s="4">
        <v>1</v>
      </c>
      <c r="B19" s="12" t="s">
        <v>111</v>
      </c>
      <c r="C19" s="13"/>
    </row>
    <row r="20" spans="1:3" x14ac:dyDescent="0.2">
      <c r="A20" s="4">
        <v>2</v>
      </c>
      <c r="B20" s="14" t="s">
        <v>251</v>
      </c>
      <c r="C20" s="13"/>
    </row>
    <row r="21" spans="1:3" x14ac:dyDescent="0.2">
      <c r="A21" s="4">
        <v>3</v>
      </c>
      <c r="B21" s="14" t="s">
        <v>62</v>
      </c>
      <c r="C21" s="13"/>
    </row>
    <row r="22" spans="1:3" ht="15" customHeight="1" x14ac:dyDescent="0.2">
      <c r="A22" s="4">
        <v>4</v>
      </c>
      <c r="B22" s="15" t="s">
        <v>63</v>
      </c>
      <c r="C22" s="16"/>
    </row>
    <row r="23" spans="1:3" s="77" customFormat="1" ht="15" customHeight="1" x14ac:dyDescent="0.2">
      <c r="B23" s="14"/>
      <c r="C23" s="13"/>
    </row>
    <row r="24" spans="1:3" s="77" customFormat="1" ht="42.75" x14ac:dyDescent="0.2">
      <c r="B24" s="10" t="s">
        <v>245</v>
      </c>
      <c r="C24" s="11"/>
    </row>
    <row r="25" spans="1:3" s="77" customFormat="1" ht="28.5" x14ac:dyDescent="0.2">
      <c r="A25" s="77">
        <v>1</v>
      </c>
      <c r="B25" s="12" t="s">
        <v>111</v>
      </c>
      <c r="C25" s="13"/>
    </row>
    <row r="26" spans="1:3" s="77" customFormat="1" x14ac:dyDescent="0.2">
      <c r="A26" s="77">
        <v>2</v>
      </c>
      <c r="B26" s="14" t="s">
        <v>250</v>
      </c>
      <c r="C26" s="13"/>
    </row>
    <row r="27" spans="1:3" s="77" customFormat="1" x14ac:dyDescent="0.2">
      <c r="A27" s="77">
        <v>3</v>
      </c>
      <c r="B27" s="14" t="s">
        <v>62</v>
      </c>
      <c r="C27" s="13"/>
    </row>
    <row r="28" spans="1:3" s="77" customFormat="1" ht="15" customHeight="1" x14ac:dyDescent="0.2">
      <c r="A28" s="77">
        <v>4</v>
      </c>
      <c r="B28" s="15" t="s">
        <v>63</v>
      </c>
      <c r="C28" s="16"/>
    </row>
    <row r="30" spans="1:3" s="77" customFormat="1" ht="42.75" x14ac:dyDescent="0.2">
      <c r="B30" s="10" t="s">
        <v>246</v>
      </c>
      <c r="C30" s="11"/>
    </row>
    <row r="31" spans="1:3" s="77" customFormat="1" ht="28.5" x14ac:dyDescent="0.2">
      <c r="A31" s="77">
        <v>1</v>
      </c>
      <c r="B31" s="12" t="s">
        <v>111</v>
      </c>
      <c r="C31" s="13"/>
    </row>
    <row r="32" spans="1:3" s="77" customFormat="1" x14ac:dyDescent="0.2">
      <c r="A32" s="77">
        <v>2</v>
      </c>
      <c r="B32" s="14" t="s">
        <v>249</v>
      </c>
      <c r="C32" s="13"/>
    </row>
    <row r="33" spans="1:6" s="77" customFormat="1" x14ac:dyDescent="0.2">
      <c r="A33" s="77">
        <v>3</v>
      </c>
      <c r="B33" s="14" t="s">
        <v>62</v>
      </c>
      <c r="C33" s="13"/>
    </row>
    <row r="34" spans="1:6" s="77" customFormat="1" ht="15" customHeight="1" x14ac:dyDescent="0.2">
      <c r="A34" s="77">
        <v>4</v>
      </c>
      <c r="B34" s="15" t="s">
        <v>63</v>
      </c>
      <c r="C34" s="16"/>
    </row>
    <row r="35" spans="1:6" s="77" customFormat="1" ht="15" customHeight="1" x14ac:dyDescent="0.2">
      <c r="B35" s="14"/>
      <c r="C35" s="13"/>
    </row>
    <row r="36" spans="1:6" s="77" customFormat="1" ht="42.75" x14ac:dyDescent="0.2">
      <c r="B36" s="10" t="s">
        <v>247</v>
      </c>
      <c r="C36" s="11"/>
    </row>
    <row r="37" spans="1:6" s="77" customFormat="1" ht="28.5" x14ac:dyDescent="0.2">
      <c r="A37" s="77">
        <v>1</v>
      </c>
      <c r="B37" s="12" t="s">
        <v>111</v>
      </c>
      <c r="C37" s="13"/>
    </row>
    <row r="38" spans="1:6" s="77" customFormat="1" x14ac:dyDescent="0.2">
      <c r="A38" s="77">
        <v>2</v>
      </c>
      <c r="B38" s="14" t="s">
        <v>248</v>
      </c>
      <c r="C38" s="13"/>
    </row>
    <row r="39" spans="1:6" s="77" customFormat="1" x14ac:dyDescent="0.2">
      <c r="A39" s="77">
        <v>3</v>
      </c>
      <c r="B39" s="14" t="s">
        <v>62</v>
      </c>
      <c r="C39" s="13"/>
    </row>
    <row r="40" spans="1:6" s="77" customFormat="1" ht="15" customHeight="1" x14ac:dyDescent="0.2">
      <c r="A40" s="77">
        <v>4</v>
      </c>
      <c r="B40" s="15" t="s">
        <v>63</v>
      </c>
      <c r="C40" s="16"/>
    </row>
    <row r="41" spans="1:6" s="77" customFormat="1" ht="15" customHeight="1" x14ac:dyDescent="0.2">
      <c r="B41" s="14"/>
      <c r="C41" s="13"/>
    </row>
    <row r="42" spans="1:6" ht="42.75" x14ac:dyDescent="0.2">
      <c r="B42" s="10" t="s">
        <v>28</v>
      </c>
      <c r="C42" s="11"/>
      <c r="E42" s="10" t="s">
        <v>270</v>
      </c>
      <c r="F42" s="11"/>
    </row>
    <row r="43" spans="1:6" ht="42.75" x14ac:dyDescent="0.2">
      <c r="A43" s="4">
        <v>1</v>
      </c>
      <c r="B43" s="12" t="s">
        <v>111</v>
      </c>
      <c r="C43" s="13"/>
      <c r="E43" s="12" t="s">
        <v>111</v>
      </c>
      <c r="F43" s="13"/>
    </row>
    <row r="44" spans="1:6" x14ac:dyDescent="0.2">
      <c r="A44" s="4">
        <v>2</v>
      </c>
      <c r="B44" s="14" t="s">
        <v>64</v>
      </c>
      <c r="C44" s="13"/>
      <c r="E44" s="14" t="s">
        <v>64</v>
      </c>
      <c r="F44" s="13"/>
    </row>
    <row r="45" spans="1:6" x14ac:dyDescent="0.2">
      <c r="A45" s="4">
        <v>3</v>
      </c>
      <c r="B45" s="14" t="s">
        <v>65</v>
      </c>
      <c r="C45" s="13"/>
      <c r="E45" s="14" t="s">
        <v>65</v>
      </c>
      <c r="F45" s="13"/>
    </row>
    <row r="46" spans="1:6" x14ac:dyDescent="0.2">
      <c r="A46" s="4">
        <v>4</v>
      </c>
      <c r="B46" s="14" t="s">
        <v>66</v>
      </c>
      <c r="C46" s="13"/>
      <c r="E46" s="14" t="s">
        <v>66</v>
      </c>
      <c r="F46" s="13"/>
    </row>
    <row r="47" spans="1:6" x14ac:dyDescent="0.2">
      <c r="A47" s="4">
        <v>5</v>
      </c>
      <c r="B47" s="15" t="s">
        <v>67</v>
      </c>
      <c r="C47" s="16"/>
      <c r="E47" s="15" t="s">
        <v>67</v>
      </c>
      <c r="F47" s="16"/>
    </row>
    <row r="49" spans="1:5" ht="28.5" x14ac:dyDescent="0.2">
      <c r="B49" s="6" t="s">
        <v>40</v>
      </c>
      <c r="E49" s="4" t="s">
        <v>921</v>
      </c>
    </row>
    <row r="50" spans="1:5" ht="42.75" x14ac:dyDescent="0.2">
      <c r="A50" s="4">
        <v>1</v>
      </c>
      <c r="B50" s="7" t="s">
        <v>111</v>
      </c>
      <c r="D50" s="4">
        <v>1</v>
      </c>
      <c r="E50" s="12" t="s">
        <v>111</v>
      </c>
    </row>
    <row r="51" spans="1:5" x14ac:dyDescent="0.2">
      <c r="A51" s="4">
        <v>2</v>
      </c>
      <c r="B51" s="8" t="s">
        <v>68</v>
      </c>
      <c r="D51" s="4">
        <v>2</v>
      </c>
      <c r="E51" s="4" t="s">
        <v>924</v>
      </c>
    </row>
    <row r="52" spans="1:5" x14ac:dyDescent="0.2">
      <c r="A52" s="4">
        <v>3</v>
      </c>
      <c r="B52" s="8" t="s">
        <v>69</v>
      </c>
      <c r="D52" s="4">
        <v>3</v>
      </c>
      <c r="E52" s="4" t="s">
        <v>925</v>
      </c>
    </row>
    <row r="53" spans="1:5" x14ac:dyDescent="0.2">
      <c r="A53" s="4">
        <v>4</v>
      </c>
      <c r="B53" s="8" t="s">
        <v>70</v>
      </c>
    </row>
    <row r="54" spans="1:5" x14ac:dyDescent="0.2">
      <c r="A54" s="4">
        <v>5</v>
      </c>
      <c r="B54" s="9" t="s">
        <v>71</v>
      </c>
      <c r="E54" s="4" t="s">
        <v>920</v>
      </c>
    </row>
    <row r="55" spans="1:5" ht="42.75" x14ac:dyDescent="0.2">
      <c r="D55" s="4">
        <v>1</v>
      </c>
      <c r="E55" s="12" t="s">
        <v>111</v>
      </c>
    </row>
    <row r="56" spans="1:5" ht="28.5" x14ac:dyDescent="0.2">
      <c r="B56" s="6" t="s">
        <v>41</v>
      </c>
      <c r="D56" s="4">
        <v>2</v>
      </c>
      <c r="E56" s="4" t="s">
        <v>941</v>
      </c>
    </row>
    <row r="57" spans="1:5" ht="28.5" x14ac:dyDescent="0.2">
      <c r="A57" s="4">
        <v>1</v>
      </c>
      <c r="B57" s="7" t="s">
        <v>111</v>
      </c>
      <c r="D57" s="4">
        <v>3</v>
      </c>
      <c r="E57" s="4" t="s">
        <v>942</v>
      </c>
    </row>
    <row r="58" spans="1:5" x14ac:dyDescent="0.2">
      <c r="A58" s="4">
        <v>2</v>
      </c>
      <c r="B58" s="8" t="s">
        <v>72</v>
      </c>
      <c r="D58" s="4">
        <v>4</v>
      </c>
      <c r="E58" s="4" t="s">
        <v>943</v>
      </c>
    </row>
    <row r="59" spans="1:5" x14ac:dyDescent="0.2">
      <c r="A59" s="4">
        <v>3</v>
      </c>
      <c r="B59" s="8" t="s">
        <v>73</v>
      </c>
      <c r="D59" s="4">
        <v>5</v>
      </c>
      <c r="E59" s="4" t="s">
        <v>944</v>
      </c>
    </row>
    <row r="60" spans="1:5" x14ac:dyDescent="0.2">
      <c r="A60" s="4">
        <v>4</v>
      </c>
      <c r="B60" s="9" t="s">
        <v>74</v>
      </c>
      <c r="D60" s="4">
        <v>6</v>
      </c>
      <c r="E60" s="4" t="s">
        <v>926</v>
      </c>
    </row>
    <row r="61" spans="1:5" x14ac:dyDescent="0.2">
      <c r="D61" s="4">
        <v>7</v>
      </c>
      <c r="E61" s="4" t="s">
        <v>927</v>
      </c>
    </row>
    <row r="62" spans="1:5" x14ac:dyDescent="0.2">
      <c r="D62" s="4">
        <v>8</v>
      </c>
      <c r="E62" s="4" t="s">
        <v>99</v>
      </c>
    </row>
    <row r="64" spans="1:5" x14ac:dyDescent="0.2">
      <c r="E64" s="4" t="s">
        <v>918</v>
      </c>
    </row>
    <row r="65" spans="4:5" ht="42.75" x14ac:dyDescent="0.2">
      <c r="D65" s="366">
        <v>1</v>
      </c>
      <c r="E65" s="12" t="s">
        <v>111</v>
      </c>
    </row>
    <row r="66" spans="4:5" x14ac:dyDescent="0.2">
      <c r="D66" s="4">
        <v>2</v>
      </c>
      <c r="E66" s="4" t="s">
        <v>928</v>
      </c>
    </row>
    <row r="67" spans="4:5" x14ac:dyDescent="0.2">
      <c r="D67" s="4">
        <v>3</v>
      </c>
      <c r="E67" s="366" t="s">
        <v>938</v>
      </c>
    </row>
    <row r="68" spans="4:5" x14ac:dyDescent="0.2">
      <c r="D68" s="4">
        <v>4</v>
      </c>
      <c r="E68" s="366" t="s">
        <v>937</v>
      </c>
    </row>
    <row r="69" spans="4:5" x14ac:dyDescent="0.2">
      <c r="D69" s="4">
        <v>5</v>
      </c>
      <c r="E69" s="4" t="s">
        <v>934</v>
      </c>
    </row>
    <row r="70" spans="4:5" x14ac:dyDescent="0.2">
      <c r="D70" s="4">
        <v>6</v>
      </c>
      <c r="E70" s="4" t="s">
        <v>929</v>
      </c>
    </row>
    <row r="71" spans="4:5" x14ac:dyDescent="0.2">
      <c r="D71" s="4">
        <v>7</v>
      </c>
      <c r="E71" s="4" t="s">
        <v>930</v>
      </c>
    </row>
    <row r="72" spans="4:5" x14ac:dyDescent="0.2">
      <c r="D72" s="4">
        <v>8</v>
      </c>
      <c r="E72" s="4" t="s">
        <v>935</v>
      </c>
    </row>
    <row r="73" spans="4:5" x14ac:dyDescent="0.2">
      <c r="D73" s="4">
        <v>9</v>
      </c>
      <c r="E73" s="4" t="s">
        <v>939</v>
      </c>
    </row>
    <row r="74" spans="4:5" x14ac:dyDescent="0.2">
      <c r="D74" s="4">
        <v>10</v>
      </c>
      <c r="E74" s="4" t="s">
        <v>931</v>
      </c>
    </row>
    <row r="75" spans="4:5" x14ac:dyDescent="0.2">
      <c r="D75" s="4">
        <v>11</v>
      </c>
      <c r="E75" s="4" t="s">
        <v>936</v>
      </c>
    </row>
    <row r="76" spans="4:5" x14ac:dyDescent="0.2">
      <c r="D76" s="4">
        <v>12</v>
      </c>
      <c r="E76" s="4" t="s">
        <v>932</v>
      </c>
    </row>
    <row r="77" spans="4:5" x14ac:dyDescent="0.2">
      <c r="D77" s="4">
        <v>13</v>
      </c>
      <c r="E77" s="4" t="s">
        <v>933</v>
      </c>
    </row>
    <row r="78" spans="4:5" x14ac:dyDescent="0.2">
      <c r="D78" s="4">
        <v>14</v>
      </c>
      <c r="E78" s="4" t="s">
        <v>940</v>
      </c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3"/>
  <sheetViews>
    <sheetView topLeftCell="A4" workbookViewId="0">
      <selection activeCell="F198" sqref="F198"/>
    </sheetView>
  </sheetViews>
  <sheetFormatPr defaultRowHeight="15" x14ac:dyDescent="0.25"/>
  <cols>
    <col min="1" max="1" width="12.140625" customWidth="1"/>
    <col min="2" max="2" width="10.7109375" customWidth="1"/>
  </cols>
  <sheetData>
    <row r="1" spans="1:3" x14ac:dyDescent="0.25">
      <c r="A1" t="s">
        <v>233</v>
      </c>
    </row>
    <row r="2" spans="1:3" x14ac:dyDescent="0.25">
      <c r="A2" t="s">
        <v>234</v>
      </c>
    </row>
    <row r="4" spans="1:3" x14ac:dyDescent="0.25">
      <c r="A4" t="s">
        <v>235</v>
      </c>
    </row>
    <row r="5" spans="1:3" x14ac:dyDescent="0.25">
      <c r="A5" t="s">
        <v>781</v>
      </c>
    </row>
    <row r="7" spans="1:3" x14ac:dyDescent="0.25">
      <c r="A7" t="s">
        <v>460</v>
      </c>
    </row>
    <row r="8" spans="1:3" x14ac:dyDescent="0.25">
      <c r="A8" t="s">
        <v>459</v>
      </c>
    </row>
    <row r="9" spans="1:3" x14ac:dyDescent="0.25">
      <c r="A9" t="s">
        <v>461</v>
      </c>
    </row>
    <row r="10" spans="1:3" x14ac:dyDescent="0.25">
      <c r="A10" t="s">
        <v>782</v>
      </c>
    </row>
    <row r="13" spans="1:3" x14ac:dyDescent="0.25">
      <c r="A13" t="s">
        <v>854</v>
      </c>
    </row>
    <row r="14" spans="1:3" x14ac:dyDescent="0.25">
      <c r="B14" t="s">
        <v>98</v>
      </c>
      <c r="C14" t="s">
        <v>855</v>
      </c>
    </row>
    <row r="15" spans="1:3" x14ac:dyDescent="0.25">
      <c r="B15" s="323">
        <v>40388</v>
      </c>
      <c r="C15" t="s">
        <v>856</v>
      </c>
    </row>
    <row r="16" spans="1:3" x14ac:dyDescent="0.25">
      <c r="B16" s="323">
        <v>40394</v>
      </c>
      <c r="C16" t="s">
        <v>857</v>
      </c>
    </row>
    <row r="17" spans="1:3" x14ac:dyDescent="0.25">
      <c r="B17" s="323">
        <v>40505</v>
      </c>
      <c r="C17" t="s">
        <v>884</v>
      </c>
    </row>
    <row r="18" spans="1:3" x14ac:dyDescent="0.25">
      <c r="B18" s="323">
        <v>40680</v>
      </c>
      <c r="C18" t="s">
        <v>885</v>
      </c>
    </row>
    <row r="19" spans="1:3" x14ac:dyDescent="0.25">
      <c r="B19" s="323">
        <v>40735</v>
      </c>
      <c r="C19" t="s">
        <v>887</v>
      </c>
    </row>
    <row r="20" spans="1:3" x14ac:dyDescent="0.25">
      <c r="A20" t="s">
        <v>888</v>
      </c>
      <c r="B20" s="323">
        <v>40766</v>
      </c>
      <c r="C20" t="s">
        <v>889</v>
      </c>
    </row>
    <row r="21" spans="1:3" x14ac:dyDescent="0.25">
      <c r="A21" t="s">
        <v>911</v>
      </c>
      <c r="B21" s="323">
        <v>40773</v>
      </c>
      <c r="C21" t="s">
        <v>912</v>
      </c>
    </row>
    <row r="22" spans="1:3" x14ac:dyDescent="0.25">
      <c r="A22" t="s">
        <v>913</v>
      </c>
      <c r="B22" s="323">
        <v>41085</v>
      </c>
      <c r="C22" t="s">
        <v>914</v>
      </c>
    </row>
    <row r="23" spans="1:3" x14ac:dyDescent="0.25">
      <c r="A23" t="s">
        <v>915</v>
      </c>
      <c r="B23" s="323">
        <v>41955</v>
      </c>
      <c r="C23" t="s">
        <v>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22"/>
  <sheetViews>
    <sheetView topLeftCell="A13" workbookViewId="0">
      <selection activeCell="B35" sqref="B35"/>
    </sheetView>
  </sheetViews>
  <sheetFormatPr defaultColWidth="9.140625" defaultRowHeight="14.25" x14ac:dyDescent="0.2"/>
  <cols>
    <col min="1" max="1" width="9.140625" style="4"/>
    <col min="2" max="2" width="9.42578125" style="1" bestFit="1" customWidth="1"/>
    <col min="3" max="3" width="15.42578125" style="4" customWidth="1"/>
    <col min="4" max="4" width="18.140625" style="4" customWidth="1"/>
    <col min="5" max="5" width="62.85546875" style="4" customWidth="1"/>
    <col min="6" max="16384" width="9.140625" style="4"/>
  </cols>
  <sheetData>
    <row r="1" spans="1:5" x14ac:dyDescent="0.2">
      <c r="A1" s="324" t="s">
        <v>881</v>
      </c>
      <c r="C1" s="4" t="s">
        <v>223</v>
      </c>
      <c r="D1" s="4" t="s">
        <v>221</v>
      </c>
      <c r="E1" s="4" t="s">
        <v>222</v>
      </c>
    </row>
    <row r="2" spans="1:5" x14ac:dyDescent="0.2">
      <c r="A2" s="324" t="str">
        <f>IF(Data!E2="","",Data!E2)</f>
        <v>BR 10 &amp; 13</v>
      </c>
      <c r="B2" s="1" t="str">
        <f t="shared" ref="B2:B11" si="0">IF(A2="",C2,"")</f>
        <v/>
      </c>
      <c r="C2" s="4">
        <v>1</v>
      </c>
      <c r="D2" s="4">
        <f>Data!C2</f>
        <v>1</v>
      </c>
      <c r="E2" s="324" t="s">
        <v>862</v>
      </c>
    </row>
    <row r="3" spans="1:5" x14ac:dyDescent="0.2">
      <c r="A3" s="324">
        <f>IF(Data!G3="","",Data!G3)</f>
        <v>2</v>
      </c>
      <c r="B3" s="367" t="str">
        <f>IF(A3&lt;=1,C3,"")</f>
        <v/>
      </c>
      <c r="C3" s="4">
        <f>C2+1</f>
        <v>2</v>
      </c>
      <c r="D3" s="4">
        <f>Data!C3</f>
        <v>2</v>
      </c>
      <c r="E3" s="324" t="s">
        <v>862</v>
      </c>
    </row>
    <row r="4" spans="1:5" s="77" customFormat="1" x14ac:dyDescent="0.2">
      <c r="A4" s="324">
        <f>IF(Data!G4="","",Data!G4)</f>
        <v>2</v>
      </c>
      <c r="B4" s="367" t="str">
        <f>IF(A4&lt;=1,C4,"")</f>
        <v/>
      </c>
      <c r="C4" s="77">
        <f t="shared" ref="C4:C15" si="1">C3+1</f>
        <v>3</v>
      </c>
      <c r="D4" s="77">
        <f>Data!C4</f>
        <v>3</v>
      </c>
      <c r="E4" s="324" t="s">
        <v>862</v>
      </c>
    </row>
    <row r="5" spans="1:5" s="77" customFormat="1" x14ac:dyDescent="0.2">
      <c r="A5" s="324" t="str">
        <f>IF(Data!E5="","",Data!E5)</f>
        <v>2.16.2</v>
      </c>
      <c r="B5" s="1" t="str">
        <f t="shared" si="0"/>
        <v/>
      </c>
      <c r="C5" s="77">
        <f t="shared" si="1"/>
        <v>4</v>
      </c>
      <c r="D5" s="77">
        <f>Data!C5</f>
        <v>4</v>
      </c>
      <c r="E5" s="324" t="s">
        <v>862</v>
      </c>
    </row>
    <row r="6" spans="1:5" x14ac:dyDescent="0.2">
      <c r="A6" s="324" t="str">
        <f>IF(Data!E6="","",Data!E6)</f>
        <v>Avocado</v>
      </c>
      <c r="B6" s="1" t="str">
        <f t="shared" si="0"/>
        <v/>
      </c>
      <c r="C6" s="77">
        <f t="shared" si="1"/>
        <v>5</v>
      </c>
      <c r="D6" s="4">
        <f>Data!C6</f>
        <v>5</v>
      </c>
      <c r="E6" s="324" t="s">
        <v>862</v>
      </c>
    </row>
    <row r="7" spans="1:5" s="77" customFormat="1" x14ac:dyDescent="0.2">
      <c r="A7" s="324">
        <f>IF(Data!G7="","",Data!G7)</f>
        <v>12</v>
      </c>
      <c r="B7" s="367" t="str">
        <f>IF(A7&lt;=1,C7,"")</f>
        <v/>
      </c>
      <c r="C7" s="77">
        <f t="shared" si="1"/>
        <v>6</v>
      </c>
      <c r="D7" s="77">
        <f>Data!C7</f>
        <v>6</v>
      </c>
      <c r="E7" s="324" t="s">
        <v>862</v>
      </c>
    </row>
    <row r="8" spans="1:5" s="78" customFormat="1" ht="15" thickBot="1" x14ac:dyDescent="0.25">
      <c r="A8" s="324" t="str">
        <f>IF(Data!E8="","",Data!E8)</f>
        <v>San Luis Obispo</v>
      </c>
      <c r="B8" s="1" t="str">
        <f t="shared" si="0"/>
        <v/>
      </c>
      <c r="C8" s="78">
        <f t="shared" si="1"/>
        <v>7</v>
      </c>
      <c r="D8" s="78">
        <f>Data!C8</f>
        <v>7</v>
      </c>
      <c r="E8" s="78" t="s">
        <v>862</v>
      </c>
    </row>
    <row r="9" spans="1:5" x14ac:dyDescent="0.2">
      <c r="A9" s="324" t="str">
        <f>IF(Data!E11="","",Data!E11)</f>
        <v>Moneim</v>
      </c>
      <c r="B9" s="1" t="str">
        <f t="shared" si="0"/>
        <v/>
      </c>
      <c r="C9" s="77">
        <f t="shared" si="1"/>
        <v>8</v>
      </c>
      <c r="D9" s="4">
        <f>Data!C11</f>
        <v>8</v>
      </c>
      <c r="E9" s="324" t="s">
        <v>862</v>
      </c>
    </row>
    <row r="10" spans="1:5" s="78" customFormat="1" ht="15" thickBot="1" x14ac:dyDescent="0.25">
      <c r="A10" s="324">
        <f>IF(Data!E12="","",Data!E12)</f>
        <v>42908</v>
      </c>
      <c r="B10" s="1" t="str">
        <f t="shared" si="0"/>
        <v/>
      </c>
      <c r="C10" s="78">
        <f t="shared" si="1"/>
        <v>9</v>
      </c>
      <c r="D10" s="78">
        <f>Data!C12</f>
        <v>9</v>
      </c>
      <c r="E10" s="78" t="s">
        <v>862</v>
      </c>
    </row>
    <row r="11" spans="1:5" x14ac:dyDescent="0.2">
      <c r="A11" s="324">
        <f>IF(Data!E15="","",Data!E15)</f>
        <v>20</v>
      </c>
      <c r="B11" s="1" t="str">
        <f t="shared" si="0"/>
        <v/>
      </c>
      <c r="C11" s="77">
        <f t="shared" si="1"/>
        <v>10</v>
      </c>
      <c r="D11" s="4">
        <f>Data!C15</f>
        <v>10</v>
      </c>
      <c r="E11" s="324" t="s">
        <v>859</v>
      </c>
    </row>
    <row r="12" spans="1:5" x14ac:dyDescent="0.2">
      <c r="A12" s="324">
        <f>IF(Data!E15="","",Data!E15)</f>
        <v>20</v>
      </c>
      <c r="B12" s="1" t="str">
        <f>IF(A12&lt;0,C12,"")</f>
        <v/>
      </c>
      <c r="C12" s="77">
        <f t="shared" si="1"/>
        <v>11</v>
      </c>
      <c r="D12" s="4">
        <f>Data!C15</f>
        <v>10</v>
      </c>
      <c r="E12" s="324" t="s">
        <v>860</v>
      </c>
    </row>
    <row r="13" spans="1:5" x14ac:dyDescent="0.2">
      <c r="A13" s="324">
        <f>IF(Data!G17="","",Data!G17)</f>
        <v>3</v>
      </c>
      <c r="B13" s="367" t="str">
        <f>IF(A13&lt;=1,C13,"")</f>
        <v/>
      </c>
      <c r="C13" s="77">
        <f t="shared" si="1"/>
        <v>12</v>
      </c>
      <c r="D13" s="4">
        <f>Data!C17</f>
        <v>11</v>
      </c>
      <c r="E13" s="324" t="s">
        <v>861</v>
      </c>
    </row>
    <row r="14" spans="1:5" x14ac:dyDescent="0.2">
      <c r="A14" s="324">
        <f>IF(Data!G21="","",Data!G21)</f>
        <v>2</v>
      </c>
      <c r="B14" s="367" t="str">
        <f>IF(A14&lt;=1,C14,"")</f>
        <v/>
      </c>
      <c r="C14" s="77">
        <f t="shared" si="1"/>
        <v>13</v>
      </c>
      <c r="D14" s="4">
        <f>Data!C21</f>
        <v>12</v>
      </c>
      <c r="E14" s="324" t="s">
        <v>861</v>
      </c>
    </row>
    <row r="15" spans="1:5" x14ac:dyDescent="0.2">
      <c r="A15" s="324">
        <f>IF(Data!E24="","",Data!E24)</f>
        <v>0</v>
      </c>
      <c r="B15" s="1" t="str">
        <f>IF(A15="",C15,"")</f>
        <v/>
      </c>
      <c r="C15" s="77">
        <f t="shared" si="1"/>
        <v>14</v>
      </c>
      <c r="D15" s="4">
        <f>Data!C24</f>
        <v>13</v>
      </c>
      <c r="E15" s="324" t="s">
        <v>859</v>
      </c>
    </row>
    <row r="16" spans="1:5" x14ac:dyDescent="0.2">
      <c r="A16" s="324">
        <f>IF(Data!E24="","",Data!E24)</f>
        <v>0</v>
      </c>
      <c r="B16" s="1" t="str">
        <f>IF(AND(OR(A16&lt;0,A16&gt;100),NOT(A16="")),C16,"")</f>
        <v/>
      </c>
      <c r="C16" s="17">
        <f t="shared" ref="C16:C75" si="2">C15+1</f>
        <v>15</v>
      </c>
      <c r="D16" s="4">
        <f>Data!C24</f>
        <v>13</v>
      </c>
      <c r="E16" s="5" t="s">
        <v>224</v>
      </c>
    </row>
    <row r="17" spans="1:5" x14ac:dyDescent="0.2">
      <c r="A17" s="324">
        <f>IF(Data!E25="","",Data!E25)</f>
        <v>1</v>
      </c>
      <c r="B17" s="1" t="str">
        <f>IF(A17="",C17,"")</f>
        <v/>
      </c>
      <c r="C17" s="17">
        <f t="shared" si="2"/>
        <v>16</v>
      </c>
      <c r="D17" s="4">
        <f>Data!C25</f>
        <v>14</v>
      </c>
      <c r="E17" s="324" t="s">
        <v>859</v>
      </c>
    </row>
    <row r="18" spans="1:5" s="78" customFormat="1" ht="15" thickBot="1" x14ac:dyDescent="0.25">
      <c r="A18" s="78">
        <f>IF(Data!G27="","",Data!G27)</f>
        <v>2</v>
      </c>
      <c r="B18" s="367" t="str">
        <f>IF(A18&lt;=1,C18,"")</f>
        <v/>
      </c>
      <c r="C18" s="78">
        <f t="shared" si="2"/>
        <v>17</v>
      </c>
      <c r="D18" s="78">
        <f>Data!C27</f>
        <v>15</v>
      </c>
      <c r="E18" s="78" t="s">
        <v>861</v>
      </c>
    </row>
    <row r="19" spans="1:5" x14ac:dyDescent="0.2">
      <c r="A19" s="324" t="str">
        <f>IF(Data!E33="","",Data!E33)</f>
        <v>Netfilm</v>
      </c>
      <c r="B19" s="1" t="str">
        <f>IF(A19="",C19,"")</f>
        <v/>
      </c>
      <c r="C19" s="17">
        <f t="shared" si="2"/>
        <v>18</v>
      </c>
      <c r="D19" s="4">
        <f>Data!C33</f>
        <v>16</v>
      </c>
      <c r="E19" s="324" t="s">
        <v>859</v>
      </c>
    </row>
    <row r="20" spans="1:5" x14ac:dyDescent="0.2">
      <c r="A20" s="324" t="str">
        <f>IF(Data!E34="","",Data!E34)</f>
        <v xml:space="preserve">WOODPECKER </v>
      </c>
      <c r="B20" s="1" t="str">
        <f>IF(A20="",C20,"")</f>
        <v/>
      </c>
      <c r="C20" s="17">
        <f t="shared" si="2"/>
        <v>19</v>
      </c>
      <c r="D20" s="4">
        <f>Data!C34</f>
        <v>17</v>
      </c>
      <c r="E20" s="324" t="s">
        <v>859</v>
      </c>
    </row>
    <row r="21" spans="1:5" x14ac:dyDescent="0.2">
      <c r="A21" s="324">
        <f>IF(Data!E35="","",Data!E35)</f>
        <v>1</v>
      </c>
      <c r="B21" s="1" t="str">
        <f>IF(A21="",C21,"")</f>
        <v/>
      </c>
      <c r="C21" s="17">
        <f t="shared" si="2"/>
        <v>20</v>
      </c>
      <c r="D21" s="4">
        <f>Data!C35</f>
        <v>18</v>
      </c>
      <c r="E21" s="324" t="s">
        <v>859</v>
      </c>
    </row>
    <row r="22" spans="1:5" x14ac:dyDescent="0.2">
      <c r="A22" s="324">
        <f>IF(Data!E35="","",Data!E35)</f>
        <v>1</v>
      </c>
      <c r="B22" s="1" t="str">
        <f>IF(NOT(OR(AND(ISNUMBER(A22),A22&gt;=0),A22="")),C22,"")</f>
        <v/>
      </c>
      <c r="C22" s="17">
        <f t="shared" si="2"/>
        <v>21</v>
      </c>
      <c r="D22" s="4">
        <f>Data!C35</f>
        <v>18</v>
      </c>
      <c r="E22" s="324" t="s">
        <v>858</v>
      </c>
    </row>
    <row r="23" spans="1:5" x14ac:dyDescent="0.2">
      <c r="A23" s="324">
        <f>IF(Data!G37="","",Data!G37)</f>
        <v>2</v>
      </c>
      <c r="B23" s="367" t="str">
        <f t="shared" ref="B23:B38" si="3">IF(A23&lt;=1,C23,"")</f>
        <v/>
      </c>
      <c r="C23" s="17">
        <f t="shared" si="2"/>
        <v>22</v>
      </c>
      <c r="D23" s="4">
        <f>Data!C37</f>
        <v>19</v>
      </c>
      <c r="E23" s="324" t="s">
        <v>861</v>
      </c>
    </row>
    <row r="24" spans="1:5" s="78" customFormat="1" ht="15" thickBot="1" x14ac:dyDescent="0.25">
      <c r="A24" s="78">
        <f>IF(Data!G42="","",Data!G42)</f>
        <v>3</v>
      </c>
      <c r="B24" s="367" t="str">
        <f t="shared" si="3"/>
        <v/>
      </c>
      <c r="C24" s="78">
        <f t="shared" si="2"/>
        <v>23</v>
      </c>
      <c r="D24" s="78">
        <f>Data!C42</f>
        <v>20</v>
      </c>
      <c r="E24" s="78" t="s">
        <v>861</v>
      </c>
    </row>
    <row r="25" spans="1:5" ht="15" thickBot="1" x14ac:dyDescent="0.25">
      <c r="A25" s="78">
        <f>IF(Data!G53="","",Data!G53)</f>
        <v>2</v>
      </c>
      <c r="B25" s="367" t="str">
        <f t="shared" si="3"/>
        <v/>
      </c>
      <c r="C25" s="17">
        <f t="shared" si="2"/>
        <v>24</v>
      </c>
      <c r="D25" s="4">
        <f>Data!C53</f>
        <v>21</v>
      </c>
      <c r="E25" s="324" t="s">
        <v>861</v>
      </c>
    </row>
    <row r="26" spans="1:5" ht="15" thickBot="1" x14ac:dyDescent="0.25">
      <c r="A26" s="78">
        <f>IF(Data!G58="","",Data!G58)</f>
        <v>2</v>
      </c>
      <c r="B26" s="367" t="str">
        <f t="shared" si="3"/>
        <v/>
      </c>
      <c r="C26" s="17">
        <f t="shared" si="2"/>
        <v>25</v>
      </c>
      <c r="D26" s="4">
        <f>Data!C58</f>
        <v>22</v>
      </c>
      <c r="E26" s="324" t="s">
        <v>861</v>
      </c>
    </row>
    <row r="27" spans="1:5" x14ac:dyDescent="0.2">
      <c r="A27" s="324">
        <f>IF(Data!G62="","",Data!G62)</f>
        <v>3</v>
      </c>
      <c r="B27" s="367" t="str">
        <f t="shared" si="3"/>
        <v/>
      </c>
      <c r="C27" s="17">
        <f t="shared" si="2"/>
        <v>26</v>
      </c>
      <c r="D27" s="4">
        <f>Data!C62</f>
        <v>23</v>
      </c>
      <c r="E27" s="324" t="s">
        <v>861</v>
      </c>
    </row>
    <row r="28" spans="1:5" x14ac:dyDescent="0.2">
      <c r="A28" s="324">
        <f>IF(Data!G66="","",Data!G66)</f>
        <v>3</v>
      </c>
      <c r="B28" s="367" t="str">
        <f t="shared" si="3"/>
        <v/>
      </c>
      <c r="C28" s="17">
        <f t="shared" si="2"/>
        <v>27</v>
      </c>
      <c r="D28" s="4">
        <f>Data!C66</f>
        <v>24</v>
      </c>
      <c r="E28" s="324" t="s">
        <v>861</v>
      </c>
    </row>
    <row r="29" spans="1:5" x14ac:dyDescent="0.2">
      <c r="A29" s="324">
        <f>IF(Data!G70="","",Data!G70)</f>
        <v>3</v>
      </c>
      <c r="B29" s="367" t="str">
        <f t="shared" si="3"/>
        <v/>
      </c>
      <c r="C29" s="17">
        <f t="shared" si="2"/>
        <v>28</v>
      </c>
      <c r="D29" s="4">
        <f>Data!C70</f>
        <v>25</v>
      </c>
      <c r="E29" s="324" t="s">
        <v>861</v>
      </c>
    </row>
    <row r="30" spans="1:5" s="5" customFormat="1" x14ac:dyDescent="0.2">
      <c r="A30" s="324">
        <f>IF(Data!G74="","",Data!G74)</f>
        <v>3</v>
      </c>
      <c r="B30" s="367" t="str">
        <f t="shared" si="3"/>
        <v/>
      </c>
      <c r="C30" s="17">
        <f t="shared" si="2"/>
        <v>29</v>
      </c>
      <c r="D30" s="5">
        <f>Data!C74</f>
        <v>26</v>
      </c>
      <c r="E30" s="324" t="s">
        <v>861</v>
      </c>
    </row>
    <row r="31" spans="1:5" s="78" customFormat="1" ht="15" thickBot="1" x14ac:dyDescent="0.25">
      <c r="A31" s="78">
        <f>IF(Data!G78="","",Data!G78)</f>
        <v>2</v>
      </c>
      <c r="B31" s="367" t="str">
        <f t="shared" si="3"/>
        <v/>
      </c>
      <c r="C31" s="78">
        <f t="shared" si="2"/>
        <v>30</v>
      </c>
      <c r="D31" s="78">
        <f>Data!C78</f>
        <v>27</v>
      </c>
      <c r="E31" s="78" t="s">
        <v>861</v>
      </c>
    </row>
    <row r="32" spans="1:5" s="5" customFormat="1" x14ac:dyDescent="0.2">
      <c r="A32" s="324">
        <f>IF(Data!G83="","",Data!G83)</f>
        <v>4</v>
      </c>
      <c r="B32" s="367" t="str">
        <f t="shared" si="3"/>
        <v/>
      </c>
      <c r="C32" s="17">
        <f t="shared" si="2"/>
        <v>31</v>
      </c>
      <c r="D32" s="5">
        <f>Data!C83</f>
        <v>28</v>
      </c>
      <c r="E32" s="324" t="s">
        <v>861</v>
      </c>
    </row>
    <row r="33" spans="1:5" s="77" customFormat="1" x14ac:dyDescent="0.2">
      <c r="A33" s="324">
        <f>IF(Data!G88="","",Data!G88)</f>
        <v>2</v>
      </c>
      <c r="B33" s="367" t="str">
        <f t="shared" si="3"/>
        <v/>
      </c>
      <c r="C33" s="77">
        <f t="shared" si="2"/>
        <v>32</v>
      </c>
      <c r="D33" s="77">
        <f>Data!C88</f>
        <v>29</v>
      </c>
      <c r="E33" s="324" t="s">
        <v>861</v>
      </c>
    </row>
    <row r="34" spans="1:5" s="77" customFormat="1" x14ac:dyDescent="0.2">
      <c r="A34" s="324">
        <f>IF(Data!G93="","",Data!G93)</f>
        <v>2</v>
      </c>
      <c r="B34" s="367" t="str">
        <f t="shared" si="3"/>
        <v/>
      </c>
      <c r="C34" s="77">
        <f t="shared" si="2"/>
        <v>33</v>
      </c>
      <c r="D34" s="77">
        <f>Data!C93</f>
        <v>30</v>
      </c>
      <c r="E34" s="324" t="s">
        <v>861</v>
      </c>
    </row>
    <row r="35" spans="1:5" s="325" customFormat="1" x14ac:dyDescent="0.2">
      <c r="A35" s="325">
        <f>IF(Data!G93="","",Data!G93)</f>
        <v>2</v>
      </c>
      <c r="B35" s="367" t="str">
        <f>IF(AND(Data!G109&gt;2,Data!G93=2),C35,"")</f>
        <v/>
      </c>
      <c r="C35" s="325">
        <f t="shared" si="2"/>
        <v>34</v>
      </c>
      <c r="D35" s="325">
        <f>Data!C93</f>
        <v>30</v>
      </c>
      <c r="E35" s="325" t="s">
        <v>883</v>
      </c>
    </row>
    <row r="36" spans="1:5" s="77" customFormat="1" x14ac:dyDescent="0.2">
      <c r="A36" s="324">
        <f>IF(Data!G98="","",Data!G98)</f>
        <v>2</v>
      </c>
      <c r="B36" s="367" t="str">
        <f t="shared" si="3"/>
        <v/>
      </c>
      <c r="C36" s="325">
        <f t="shared" si="2"/>
        <v>35</v>
      </c>
      <c r="D36" s="77">
        <f>Data!C98</f>
        <v>31</v>
      </c>
      <c r="E36" s="324" t="s">
        <v>861</v>
      </c>
    </row>
    <row r="37" spans="1:5" s="77" customFormat="1" x14ac:dyDescent="0.2">
      <c r="A37" s="324">
        <f>IF(Data!G103="","",Data!G103)</f>
        <v>5</v>
      </c>
      <c r="B37" s="367" t="str">
        <f t="shared" si="3"/>
        <v/>
      </c>
      <c r="C37" s="320">
        <f t="shared" si="2"/>
        <v>36</v>
      </c>
      <c r="D37" s="77">
        <f>Data!C103</f>
        <v>32</v>
      </c>
      <c r="E37" s="324" t="s">
        <v>861</v>
      </c>
    </row>
    <row r="38" spans="1:5" s="320" customFormat="1" x14ac:dyDescent="0.2">
      <c r="A38" s="324">
        <f>IF(Data!G109="","",Data!G109)</f>
        <v>2</v>
      </c>
      <c r="B38" s="367" t="str">
        <f t="shared" si="3"/>
        <v/>
      </c>
      <c r="C38" s="320">
        <f t="shared" si="2"/>
        <v>37</v>
      </c>
      <c r="D38" s="320">
        <f>Data!C109</f>
        <v>33</v>
      </c>
      <c r="E38" s="324" t="s">
        <v>861</v>
      </c>
    </row>
    <row r="39" spans="1:5" s="77" customFormat="1" x14ac:dyDescent="0.2">
      <c r="A39" s="327">
        <f>IF(Data!G109="","",Data!G109)</f>
        <v>2</v>
      </c>
      <c r="B39" s="367" t="str">
        <f>IF(AND(Data!G93&gt;=3,Data!G109&lt;=1),C39,"")</f>
        <v/>
      </c>
      <c r="C39" s="320">
        <f t="shared" si="2"/>
        <v>38</v>
      </c>
      <c r="D39" s="77">
        <f>Data!C109</f>
        <v>33</v>
      </c>
      <c r="E39" s="324" t="s">
        <v>863</v>
      </c>
    </row>
    <row r="40" spans="1:5" x14ac:dyDescent="0.2">
      <c r="A40" s="327">
        <f>IF(Data!G116="","",Data!G116)</f>
        <v>3</v>
      </c>
      <c r="B40" s="367" t="str">
        <f>IF(AND(OR(Data!G83&gt;=3,Data!G88&gt;=3,Data!G93&gt;=3,Data!G98&gt;=3),Data!G116&lt;=1),C40,"")</f>
        <v/>
      </c>
      <c r="C40" s="320">
        <f t="shared" si="2"/>
        <v>39</v>
      </c>
      <c r="D40" s="4">
        <f>Data!C116</f>
        <v>34</v>
      </c>
      <c r="E40" s="324" t="s">
        <v>864</v>
      </c>
    </row>
    <row r="41" spans="1:5" x14ac:dyDescent="0.2">
      <c r="A41" s="327">
        <f>IF(Data!G116="","",Data!G116)</f>
        <v>3</v>
      </c>
      <c r="B41" s="367" t="str">
        <f>IF(AND(Data!G116&gt;1,Data!G83=2,Data!G88=2,Data!G93=2,Data!G98=2),C41,"")</f>
        <v/>
      </c>
      <c r="C41" s="320">
        <f t="shared" si="2"/>
        <v>40</v>
      </c>
      <c r="D41" s="4">
        <f>Data!C116</f>
        <v>34</v>
      </c>
      <c r="E41" s="324" t="s">
        <v>880</v>
      </c>
    </row>
    <row r="42" spans="1:5" s="78" customFormat="1" ht="15" thickBot="1" x14ac:dyDescent="0.25">
      <c r="A42" s="78">
        <f>IF(Data!G120="","",Data!G120)</f>
        <v>4</v>
      </c>
      <c r="B42" s="367" t="str">
        <f>IF(A42&lt;=1,C42,"")</f>
        <v/>
      </c>
      <c r="C42" s="78">
        <f t="shared" si="2"/>
        <v>41</v>
      </c>
      <c r="D42" s="78">
        <f>Data!C120</f>
        <v>35</v>
      </c>
      <c r="E42" s="78" t="s">
        <v>861</v>
      </c>
    </row>
    <row r="43" spans="1:5" x14ac:dyDescent="0.2">
      <c r="A43" s="324">
        <f>IF(Data!E127="","",Data!E127)</f>
        <v>70</v>
      </c>
      <c r="B43" s="1" t="str">
        <f>IF(A43="",C43,"")</f>
        <v/>
      </c>
      <c r="C43" s="17">
        <f t="shared" si="2"/>
        <v>42</v>
      </c>
      <c r="D43" s="4">
        <f>Data!C127</f>
        <v>36</v>
      </c>
      <c r="E43" s="324" t="s">
        <v>859</v>
      </c>
    </row>
    <row r="44" spans="1:5" x14ac:dyDescent="0.2">
      <c r="A44" s="324">
        <f>IF(Data!E127="","",Data!E127)</f>
        <v>70</v>
      </c>
      <c r="B44" s="1" t="str">
        <f>IF(NOT(OR(AND(ISNUMBER(A44),A44&gt;=0),A44="")),C44,"")</f>
        <v/>
      </c>
      <c r="C44" s="17">
        <f t="shared" si="2"/>
        <v>43</v>
      </c>
      <c r="D44" s="4">
        <f>Data!C127</f>
        <v>36</v>
      </c>
      <c r="E44" s="324" t="s">
        <v>858</v>
      </c>
    </row>
    <row r="45" spans="1:5" x14ac:dyDescent="0.2">
      <c r="A45" s="324">
        <f>IF(Data!E128="","",Data!E128)</f>
        <v>70</v>
      </c>
      <c r="B45" s="1" t="str">
        <f>IF(A45="",C45,"")</f>
        <v/>
      </c>
      <c r="C45" s="17">
        <f t="shared" si="2"/>
        <v>44</v>
      </c>
      <c r="D45" s="4">
        <f>Data!C128</f>
        <v>37</v>
      </c>
      <c r="E45" s="324" t="s">
        <v>859</v>
      </c>
    </row>
    <row r="46" spans="1:5" x14ac:dyDescent="0.2">
      <c r="A46" s="324">
        <f>IF(Data!E128="","",Data!E128)</f>
        <v>70</v>
      </c>
      <c r="B46" s="1" t="str">
        <f>IF(NOT(OR(AND(ISNUMBER(A46),A46&gt;=0),A46="")),C46,"")</f>
        <v/>
      </c>
      <c r="C46" s="17">
        <f t="shared" si="2"/>
        <v>45</v>
      </c>
      <c r="D46" s="4">
        <f>Data!C128</f>
        <v>37</v>
      </c>
      <c r="E46" s="324" t="s">
        <v>858</v>
      </c>
    </row>
    <row r="47" spans="1:5" x14ac:dyDescent="0.2">
      <c r="A47" s="324">
        <f>IF(Data!E131="","",Data!E131)</f>
        <v>0</v>
      </c>
      <c r="B47" s="1" t="str">
        <f>IF(NOT(OR(AND(ISNUMBER(A47),A47&gt;=0),A47="")),C47,"")</f>
        <v/>
      </c>
      <c r="C47" s="17">
        <f t="shared" si="2"/>
        <v>46</v>
      </c>
      <c r="D47" s="4">
        <f>Data!C131</f>
        <v>38</v>
      </c>
      <c r="E47" s="324" t="s">
        <v>858</v>
      </c>
    </row>
    <row r="48" spans="1:5" x14ac:dyDescent="0.2">
      <c r="A48" s="324" t="str">
        <f>IF(Data!E132="","",Data!E132)</f>
        <v/>
      </c>
      <c r="B48" s="1" t="str">
        <f>IF(NOT(OR(AND(ISNUMBER(A48),A48&gt;=0),A48="")),C48,"")</f>
        <v/>
      </c>
      <c r="C48" s="17">
        <f t="shared" si="2"/>
        <v>47</v>
      </c>
      <c r="D48" s="4">
        <f>Data!C132</f>
        <v>39</v>
      </c>
      <c r="E48" s="324" t="s">
        <v>858</v>
      </c>
    </row>
    <row r="49" spans="1:5" s="78" customFormat="1" ht="15" thickBot="1" x14ac:dyDescent="0.25">
      <c r="A49" s="324" t="str">
        <f>IF(Data!E133="","",Data!E133)</f>
        <v/>
      </c>
      <c r="B49" s="1" t="str">
        <f>IF(NOT(OR(AND(ISNUMBER(A49),A49&gt;=0),A49="")),C49,"")</f>
        <v/>
      </c>
      <c r="C49" s="78">
        <f t="shared" si="2"/>
        <v>48</v>
      </c>
      <c r="D49" s="78">
        <f>Data!C133</f>
        <v>40</v>
      </c>
      <c r="E49" s="78" t="s">
        <v>858</v>
      </c>
    </row>
    <row r="50" spans="1:5" x14ac:dyDescent="0.2">
      <c r="A50" s="324">
        <f>IF(Data!E136="","",Data!E136)</f>
        <v>1</v>
      </c>
      <c r="B50" s="1" t="str">
        <f>IF(A50="",C50,"")</f>
        <v/>
      </c>
      <c r="C50" s="17">
        <f t="shared" si="2"/>
        <v>49</v>
      </c>
      <c r="D50" s="4">
        <f>Data!C136</f>
        <v>41</v>
      </c>
      <c r="E50" s="324" t="s">
        <v>859</v>
      </c>
    </row>
    <row r="51" spans="1:5" x14ac:dyDescent="0.2">
      <c r="A51" s="324">
        <f>IF(Data!G138="","",Data!G138)</f>
        <v>3</v>
      </c>
      <c r="B51" s="367" t="str">
        <f>IF(A51&lt;=1,C51,"")</f>
        <v/>
      </c>
      <c r="C51" s="17">
        <f t="shared" si="2"/>
        <v>50</v>
      </c>
      <c r="D51" s="4">
        <f>Data!C138</f>
        <v>42</v>
      </c>
      <c r="E51" s="324" t="s">
        <v>861</v>
      </c>
    </row>
    <row r="52" spans="1:5" x14ac:dyDescent="0.2">
      <c r="A52" s="324">
        <f>IF(Data!G143="","",Data!G143)</f>
        <v>3</v>
      </c>
      <c r="B52" s="367" t="str">
        <f>IF(A52&lt;=1,C52,"")</f>
        <v/>
      </c>
      <c r="C52" s="17">
        <f t="shared" si="2"/>
        <v>51</v>
      </c>
      <c r="D52" s="4">
        <f>Data!C143</f>
        <v>43</v>
      </c>
      <c r="E52" s="324" t="s">
        <v>861</v>
      </c>
    </row>
    <row r="53" spans="1:5" x14ac:dyDescent="0.2">
      <c r="A53" s="324">
        <f>IF(Data!G148="","",Data!G148)</f>
        <v>3</v>
      </c>
      <c r="B53" s="367" t="str">
        <f>IF(A53&lt;=1,C53,"")</f>
        <v/>
      </c>
      <c r="C53" s="17">
        <f t="shared" si="2"/>
        <v>52</v>
      </c>
      <c r="D53" s="4">
        <f>Data!C148</f>
        <v>44</v>
      </c>
      <c r="E53" s="324" t="s">
        <v>861</v>
      </c>
    </row>
    <row r="54" spans="1:5" s="78" customFormat="1" ht="15" thickBot="1" x14ac:dyDescent="0.25">
      <c r="A54" s="324">
        <f>IF(Data!G152="","",Data!G152)</f>
        <v>2</v>
      </c>
      <c r="B54" s="367" t="str">
        <f>IF(A54&lt;=1,C54,"")</f>
        <v/>
      </c>
      <c r="C54" s="78">
        <f t="shared" si="2"/>
        <v>53</v>
      </c>
      <c r="D54" s="78">
        <f>Data!C152</f>
        <v>45</v>
      </c>
      <c r="E54" s="78" t="s">
        <v>861</v>
      </c>
    </row>
    <row r="55" spans="1:5" x14ac:dyDescent="0.2">
      <c r="A55" s="324">
        <f>IF(Data!E161="","",Data!E161)</f>
        <v>55</v>
      </c>
      <c r="B55" s="1" t="str">
        <f>IF(A55="",C55,"")</f>
        <v/>
      </c>
      <c r="C55" s="17">
        <f t="shared" si="2"/>
        <v>54</v>
      </c>
      <c r="D55" s="4">
        <f>Data!C161</f>
        <v>46</v>
      </c>
      <c r="E55" s="324" t="s">
        <v>862</v>
      </c>
    </row>
    <row r="56" spans="1:5" x14ac:dyDescent="0.2">
      <c r="A56" s="324">
        <f>IF(Data!E161="","",Data!E161)</f>
        <v>55</v>
      </c>
      <c r="B56" s="1" t="str">
        <f>IF(NOT(OR(AND(ISNUMBER(A56),A56&gt;=0),A56="")),C56,"")</f>
        <v/>
      </c>
      <c r="C56" s="17">
        <f t="shared" si="2"/>
        <v>55</v>
      </c>
      <c r="D56" s="4">
        <f>Data!C161</f>
        <v>46</v>
      </c>
      <c r="E56" s="324" t="s">
        <v>858</v>
      </c>
    </row>
    <row r="57" spans="1:5" x14ac:dyDescent="0.2">
      <c r="A57" s="324" t="str">
        <f>IF(Data!E162="","",Data!E162)</f>
        <v/>
      </c>
      <c r="B57" s="1">
        <f>IF(A57="",C57,"")</f>
        <v>56</v>
      </c>
      <c r="C57" s="17">
        <f t="shared" si="2"/>
        <v>56</v>
      </c>
      <c r="D57" s="4">
        <f>Data!C162</f>
        <v>47</v>
      </c>
      <c r="E57" s="324" t="s">
        <v>862</v>
      </c>
    </row>
    <row r="58" spans="1:5" x14ac:dyDescent="0.2">
      <c r="A58" s="324" t="str">
        <f>IF(Data!E162="","",Data!E162)</f>
        <v/>
      </c>
      <c r="B58" s="1" t="str">
        <f>IF(NOT(OR(AND(ISNUMBER(A58),A58&gt;=0),A58="")),C58,"")</f>
        <v/>
      </c>
      <c r="C58" s="17">
        <f t="shared" si="2"/>
        <v>57</v>
      </c>
      <c r="D58" s="4">
        <f>Data!C162</f>
        <v>47</v>
      </c>
      <c r="E58" s="324" t="s">
        <v>858</v>
      </c>
    </row>
    <row r="59" spans="1:5" x14ac:dyDescent="0.2">
      <c r="A59" s="324" t="str">
        <f>IF(Data!E163="","",Data!E163)</f>
        <v/>
      </c>
      <c r="B59" s="1">
        <f>IF(A59="",C59,"")</f>
        <v>58</v>
      </c>
      <c r="C59" s="17">
        <f t="shared" si="2"/>
        <v>58</v>
      </c>
      <c r="D59" s="4">
        <f>Data!C163</f>
        <v>48</v>
      </c>
      <c r="E59" s="324" t="s">
        <v>862</v>
      </c>
    </row>
    <row r="60" spans="1:5" x14ac:dyDescent="0.2">
      <c r="A60" s="324" t="str">
        <f>IF(Data!E163="","",Data!E163)</f>
        <v/>
      </c>
      <c r="B60" s="1" t="str">
        <f>IF(NOT(OR(AND(ISNUMBER(A60),A60&gt;=0),A60="")),C60,"")</f>
        <v/>
      </c>
      <c r="C60" s="17">
        <f t="shared" si="2"/>
        <v>59</v>
      </c>
      <c r="D60" s="4">
        <f>Data!C163</f>
        <v>48</v>
      </c>
      <c r="E60" s="324" t="s">
        <v>858</v>
      </c>
    </row>
    <row r="61" spans="1:5" x14ac:dyDescent="0.2">
      <c r="A61" s="324">
        <f>IF(Data!E164="","",Data!E164)</f>
        <v>54</v>
      </c>
      <c r="B61" s="1" t="str">
        <f>IF(A61="",C61,"")</f>
        <v/>
      </c>
      <c r="C61" s="17">
        <f t="shared" si="2"/>
        <v>60</v>
      </c>
      <c r="D61" s="4">
        <f>Data!C164</f>
        <v>49</v>
      </c>
      <c r="E61" s="324" t="s">
        <v>862</v>
      </c>
    </row>
    <row r="62" spans="1:5" x14ac:dyDescent="0.2">
      <c r="A62" s="324">
        <f>IF(Data!E164="","",Data!E164)</f>
        <v>54</v>
      </c>
      <c r="B62" s="1" t="str">
        <f>IF(NOT(OR(AND(ISNUMBER(A62),A62&gt;=0),A62="")),C62,"")</f>
        <v/>
      </c>
      <c r="C62" s="17">
        <f t="shared" si="2"/>
        <v>61</v>
      </c>
      <c r="D62" s="4">
        <f>Data!C164</f>
        <v>49</v>
      </c>
      <c r="E62" s="324" t="s">
        <v>858</v>
      </c>
    </row>
    <row r="63" spans="1:5" x14ac:dyDescent="0.2">
      <c r="A63" s="324">
        <f>IF(Data!E165="","",Data!E165)</f>
        <v>62</v>
      </c>
      <c r="B63" s="1" t="str">
        <f>IF(A63="",C63,"")</f>
        <v/>
      </c>
      <c r="C63" s="17">
        <f t="shared" si="2"/>
        <v>62</v>
      </c>
      <c r="D63" s="4">
        <f>Data!C165</f>
        <v>50</v>
      </c>
      <c r="E63" s="324" t="s">
        <v>862</v>
      </c>
    </row>
    <row r="64" spans="1:5" x14ac:dyDescent="0.2">
      <c r="A64" s="324">
        <f>IF(Data!E165="","",Data!E165)</f>
        <v>62</v>
      </c>
      <c r="B64" s="1" t="str">
        <f>IF(NOT(OR(AND(ISNUMBER(A64),A64&gt;=0),A64="")),C64,"")</f>
        <v/>
      </c>
      <c r="C64" s="17">
        <f t="shared" si="2"/>
        <v>63</v>
      </c>
      <c r="D64" s="4">
        <f>Data!C165</f>
        <v>50</v>
      </c>
      <c r="E64" s="324" t="s">
        <v>858</v>
      </c>
    </row>
    <row r="65" spans="1:5" x14ac:dyDescent="0.2">
      <c r="A65" s="324">
        <f>IF(Data!E167="","",Data!E167)</f>
        <v>36</v>
      </c>
      <c r="B65" s="1" t="str">
        <f>IF(A65="",C65,"")</f>
        <v/>
      </c>
      <c r="C65" s="17">
        <f t="shared" si="2"/>
        <v>64</v>
      </c>
      <c r="D65" s="4">
        <f>Data!C167</f>
        <v>51</v>
      </c>
      <c r="E65" s="324" t="s">
        <v>862</v>
      </c>
    </row>
    <row r="66" spans="1:5" x14ac:dyDescent="0.2">
      <c r="A66" s="324">
        <f>IF(Data!E167="","",Data!E167)</f>
        <v>36</v>
      </c>
      <c r="B66" s="1" t="str">
        <f>IF(NOT(OR(AND(ISNUMBER(A66),A66&gt;=0),A66="")),C66,"")</f>
        <v/>
      </c>
      <c r="C66" s="17">
        <f t="shared" si="2"/>
        <v>65</v>
      </c>
      <c r="D66" s="4">
        <f>Data!C167</f>
        <v>51</v>
      </c>
      <c r="E66" s="324" t="s">
        <v>858</v>
      </c>
    </row>
    <row r="67" spans="1:5" x14ac:dyDescent="0.2">
      <c r="A67" s="324" t="str">
        <f>IF(Data!E168="","",Data!E168)</f>
        <v/>
      </c>
      <c r="B67" s="1">
        <f>IF(A67="",C67,"")</f>
        <v>66</v>
      </c>
      <c r="C67" s="17">
        <f t="shared" si="2"/>
        <v>66</v>
      </c>
      <c r="D67" s="4">
        <f>Data!C168</f>
        <v>52</v>
      </c>
      <c r="E67" s="324" t="s">
        <v>862</v>
      </c>
    </row>
    <row r="68" spans="1:5" x14ac:dyDescent="0.2">
      <c r="A68" s="324" t="str">
        <f>IF(Data!E168="","",Data!E168)</f>
        <v/>
      </c>
      <c r="B68" s="1" t="str">
        <f>IF(NOT(OR(AND(ISNUMBER(A68),A68&gt;=0),A68="")),C68,"")</f>
        <v/>
      </c>
      <c r="C68" s="17">
        <f t="shared" si="2"/>
        <v>67</v>
      </c>
      <c r="D68" s="4">
        <f>Data!C168</f>
        <v>52</v>
      </c>
      <c r="E68" s="324" t="s">
        <v>858</v>
      </c>
    </row>
    <row r="69" spans="1:5" x14ac:dyDescent="0.2">
      <c r="A69" s="324" t="str">
        <f>IF(Data!E169="","",Data!E169)</f>
        <v/>
      </c>
      <c r="B69" s="1">
        <f>IF(A69="",C69,"")</f>
        <v>68</v>
      </c>
      <c r="C69" s="17">
        <f t="shared" si="2"/>
        <v>68</v>
      </c>
      <c r="D69" s="4">
        <f>Data!C169</f>
        <v>53</v>
      </c>
      <c r="E69" s="324" t="s">
        <v>862</v>
      </c>
    </row>
    <row r="70" spans="1:5" x14ac:dyDescent="0.2">
      <c r="A70" s="324" t="str">
        <f>IF(Data!E169="","",Data!E169)</f>
        <v/>
      </c>
      <c r="B70" s="1" t="str">
        <f>IF(NOT(OR(AND(ISNUMBER(A70),A70&gt;=0),A70="")),C70,"")</f>
        <v/>
      </c>
      <c r="C70" s="17">
        <f t="shared" si="2"/>
        <v>69</v>
      </c>
      <c r="D70" s="4">
        <f>Data!C169</f>
        <v>53</v>
      </c>
      <c r="E70" s="324" t="s">
        <v>858</v>
      </c>
    </row>
    <row r="71" spans="1:5" x14ac:dyDescent="0.2">
      <c r="A71" s="324">
        <f>IF(Data!E170="","",Data!E170)</f>
        <v>38</v>
      </c>
      <c r="B71" s="1" t="str">
        <f>IF(A71="",C71,"")</f>
        <v/>
      </c>
      <c r="C71" s="17">
        <f t="shared" si="2"/>
        <v>70</v>
      </c>
      <c r="D71" s="4">
        <f>Data!C170</f>
        <v>54</v>
      </c>
      <c r="E71" s="324" t="s">
        <v>862</v>
      </c>
    </row>
    <row r="72" spans="1:5" x14ac:dyDescent="0.2">
      <c r="A72" s="324">
        <f>IF(Data!E170="","",Data!E170)</f>
        <v>38</v>
      </c>
      <c r="B72" s="1" t="str">
        <f>IF(NOT(OR(AND(ISNUMBER(A72),A72&gt;=0),A72="")),C72,"")</f>
        <v/>
      </c>
      <c r="C72" s="17">
        <f t="shared" si="2"/>
        <v>71</v>
      </c>
      <c r="D72" s="4">
        <f>Data!C170</f>
        <v>54</v>
      </c>
      <c r="E72" s="324" t="s">
        <v>858</v>
      </c>
    </row>
    <row r="73" spans="1:5" x14ac:dyDescent="0.2">
      <c r="A73" s="324">
        <f>IF(Data!E171="","",Data!E171)</f>
        <v>42</v>
      </c>
      <c r="B73" s="1" t="str">
        <f>IF(A73="",C73,"")</f>
        <v/>
      </c>
      <c r="C73" s="17">
        <f t="shared" si="2"/>
        <v>72</v>
      </c>
      <c r="D73" s="4">
        <f>Data!C171</f>
        <v>55</v>
      </c>
      <c r="E73" s="324" t="s">
        <v>862</v>
      </c>
    </row>
    <row r="74" spans="1:5" s="78" customFormat="1" ht="15" thickBot="1" x14ac:dyDescent="0.25">
      <c r="A74" s="78">
        <f>IF(Data!E171="","",Data!E171)</f>
        <v>42</v>
      </c>
      <c r="B74" s="1" t="str">
        <f>IF(NOT(OR(AND(ISNUMBER(A74),A74&gt;=0),A74="")),C74,"")</f>
        <v/>
      </c>
      <c r="C74" s="78">
        <f t="shared" si="2"/>
        <v>73</v>
      </c>
      <c r="D74" s="78">
        <f>Data!C171</f>
        <v>55</v>
      </c>
      <c r="E74" s="78" t="s">
        <v>858</v>
      </c>
    </row>
    <row r="75" spans="1:5" ht="15" thickBot="1" x14ac:dyDescent="0.25">
      <c r="A75" s="78">
        <f>IF(Data!E175="","",Data!E175)</f>
        <v>66</v>
      </c>
      <c r="B75" s="1" t="str">
        <f>IF(A75="",C75,"")</f>
        <v/>
      </c>
      <c r="C75" s="17">
        <f t="shared" si="2"/>
        <v>74</v>
      </c>
      <c r="D75" s="4">
        <f>Data!C175</f>
        <v>56</v>
      </c>
      <c r="E75" s="324" t="s">
        <v>862</v>
      </c>
    </row>
    <row r="76" spans="1:5" x14ac:dyDescent="0.2">
      <c r="A76" s="324">
        <f>IF(Data!E175="","",Data!E175)</f>
        <v>66</v>
      </c>
      <c r="B76" s="1" t="str">
        <f>IF(NOT(OR(AND(ISNUMBER(A76),A76&gt;=0),A76="")),C76,"")</f>
        <v/>
      </c>
      <c r="C76" s="17">
        <f t="shared" ref="C76:C139" si="4">C75+1</f>
        <v>75</v>
      </c>
      <c r="D76" s="4">
        <f>Data!C175</f>
        <v>56</v>
      </c>
      <c r="E76" s="324" t="s">
        <v>858</v>
      </c>
    </row>
    <row r="77" spans="1:5" x14ac:dyDescent="0.2">
      <c r="A77" s="324" t="str">
        <f>IF(Data!E176="","",Data!E176)</f>
        <v/>
      </c>
      <c r="B77" s="1">
        <f>IF(A77="",C77,"")</f>
        <v>76</v>
      </c>
      <c r="C77" s="17">
        <f t="shared" si="4"/>
        <v>76</v>
      </c>
      <c r="D77" s="4">
        <f>Data!C176</f>
        <v>57</v>
      </c>
      <c r="E77" s="324" t="s">
        <v>862</v>
      </c>
    </row>
    <row r="78" spans="1:5" x14ac:dyDescent="0.2">
      <c r="A78" s="324" t="str">
        <f>IF(Data!E176="","",Data!E176)</f>
        <v/>
      </c>
      <c r="B78" s="1" t="str">
        <f>IF(NOT(OR(AND(ISNUMBER(A78),A78&gt;=0),A78="")),C78,"")</f>
        <v/>
      </c>
      <c r="C78" s="17">
        <f t="shared" si="4"/>
        <v>77</v>
      </c>
      <c r="D78" s="4">
        <f>Data!C176</f>
        <v>57</v>
      </c>
      <c r="E78" s="324" t="s">
        <v>858</v>
      </c>
    </row>
    <row r="79" spans="1:5" x14ac:dyDescent="0.2">
      <c r="A79" s="324" t="str">
        <f>IF(Data!E177="","",Data!E177)</f>
        <v/>
      </c>
      <c r="B79" s="1">
        <f>IF(A79="",C79,"")</f>
        <v>78</v>
      </c>
      <c r="C79" s="17">
        <f t="shared" si="4"/>
        <v>78</v>
      </c>
      <c r="D79" s="4">
        <f>Data!C177</f>
        <v>58</v>
      </c>
      <c r="E79" s="324" t="s">
        <v>862</v>
      </c>
    </row>
    <row r="80" spans="1:5" x14ac:dyDescent="0.2">
      <c r="A80" s="324" t="str">
        <f>IF(Data!E177="","",Data!E177)</f>
        <v/>
      </c>
      <c r="B80" s="1" t="str">
        <f>IF(NOT(OR(AND(ISNUMBER(A80),A80&gt;=0),A80="")),C80,"")</f>
        <v/>
      </c>
      <c r="C80" s="17">
        <f t="shared" si="4"/>
        <v>79</v>
      </c>
      <c r="D80" s="4">
        <f>Data!C177</f>
        <v>58</v>
      </c>
      <c r="E80" s="324" t="s">
        <v>858</v>
      </c>
    </row>
    <row r="81" spans="1:5" x14ac:dyDescent="0.2">
      <c r="A81" s="324">
        <f>IF(Data!E178="","",Data!E178)</f>
        <v>58</v>
      </c>
      <c r="B81" s="1" t="str">
        <f>IF(A81="",C81,"")</f>
        <v/>
      </c>
      <c r="C81" s="17">
        <f t="shared" si="4"/>
        <v>80</v>
      </c>
      <c r="D81" s="4">
        <f>Data!C178</f>
        <v>59</v>
      </c>
      <c r="E81" s="324" t="s">
        <v>862</v>
      </c>
    </row>
    <row r="82" spans="1:5" x14ac:dyDescent="0.2">
      <c r="A82" s="324">
        <f>IF(Data!E178="","",Data!E178)</f>
        <v>58</v>
      </c>
      <c r="B82" s="1" t="str">
        <f>IF(NOT(OR(AND(ISNUMBER(A82),A82&gt;=0),A82="")),C82,"")</f>
        <v/>
      </c>
      <c r="C82" s="17">
        <f t="shared" si="4"/>
        <v>81</v>
      </c>
      <c r="D82" s="4">
        <f>Data!C178</f>
        <v>59</v>
      </c>
      <c r="E82" s="324" t="s">
        <v>858</v>
      </c>
    </row>
    <row r="83" spans="1:5" x14ac:dyDescent="0.2">
      <c r="A83" s="324">
        <f>IF(Data!E179="","",Data!E179)</f>
        <v>53</v>
      </c>
      <c r="B83" s="1" t="str">
        <f>IF(A83="",C83,"")</f>
        <v/>
      </c>
      <c r="C83" s="17">
        <f t="shared" si="4"/>
        <v>82</v>
      </c>
      <c r="D83" s="4">
        <f>Data!C179</f>
        <v>60</v>
      </c>
      <c r="E83" s="324" t="s">
        <v>862</v>
      </c>
    </row>
    <row r="84" spans="1:5" x14ac:dyDescent="0.2">
      <c r="A84" s="324">
        <f>IF(Data!E179="","",Data!E179)</f>
        <v>53</v>
      </c>
      <c r="B84" s="1" t="str">
        <f>IF(NOT(OR(AND(ISNUMBER(A84),A84&gt;=0),A84="")),C84,"")</f>
        <v/>
      </c>
      <c r="C84" s="17">
        <f t="shared" si="4"/>
        <v>83</v>
      </c>
      <c r="D84" s="4">
        <f>Data!C179</f>
        <v>60</v>
      </c>
      <c r="E84" s="324" t="s">
        <v>858</v>
      </c>
    </row>
    <row r="85" spans="1:5" x14ac:dyDescent="0.2">
      <c r="A85" s="324">
        <f>IF(Data!E181="","",Data!E181)</f>
        <v>66</v>
      </c>
      <c r="B85" s="1" t="str">
        <f>IF(A85="",C85,"")</f>
        <v/>
      </c>
      <c r="C85" s="17">
        <f t="shared" si="4"/>
        <v>84</v>
      </c>
      <c r="D85" s="4">
        <f>Data!C181</f>
        <v>61</v>
      </c>
      <c r="E85" s="324" t="s">
        <v>862</v>
      </c>
    </row>
    <row r="86" spans="1:5" x14ac:dyDescent="0.2">
      <c r="A86" s="324">
        <f>IF(Data!E181="","",Data!E181)</f>
        <v>66</v>
      </c>
      <c r="B86" s="1" t="str">
        <f>IF(NOT(OR(AND(ISNUMBER(A86),A86&gt;=0),A86="")),C86,"")</f>
        <v/>
      </c>
      <c r="C86" s="17">
        <f t="shared" si="4"/>
        <v>85</v>
      </c>
      <c r="D86" s="4">
        <f>Data!C181</f>
        <v>61</v>
      </c>
      <c r="E86" s="324" t="s">
        <v>858</v>
      </c>
    </row>
    <row r="87" spans="1:5" x14ac:dyDescent="0.2">
      <c r="A87" s="324" t="str">
        <f>IF(Data!E182="","",Data!E182)</f>
        <v/>
      </c>
      <c r="B87" s="1">
        <f>IF(A87="",C87,"")</f>
        <v>86</v>
      </c>
      <c r="C87" s="17">
        <f t="shared" si="4"/>
        <v>86</v>
      </c>
      <c r="D87" s="4">
        <f>Data!C182</f>
        <v>62</v>
      </c>
      <c r="E87" s="324" t="s">
        <v>862</v>
      </c>
    </row>
    <row r="88" spans="1:5" x14ac:dyDescent="0.2">
      <c r="A88" s="324" t="str">
        <f>IF(Data!E182="","",Data!E182)</f>
        <v/>
      </c>
      <c r="B88" s="1" t="str">
        <f>IF(NOT(OR(AND(ISNUMBER(A88),A88&gt;=0),A88="")),C88,"")</f>
        <v/>
      </c>
      <c r="C88" s="17">
        <f t="shared" si="4"/>
        <v>87</v>
      </c>
      <c r="D88" s="4">
        <f>Data!C182</f>
        <v>62</v>
      </c>
      <c r="E88" s="324" t="s">
        <v>858</v>
      </c>
    </row>
    <row r="89" spans="1:5" x14ac:dyDescent="0.2">
      <c r="A89" s="324" t="str">
        <f>IF(Data!E183="","",Data!E183)</f>
        <v/>
      </c>
      <c r="B89" s="1">
        <f>IF(A89="",C89,"")</f>
        <v>88</v>
      </c>
      <c r="C89" s="17">
        <f t="shared" si="4"/>
        <v>88</v>
      </c>
      <c r="D89" s="4">
        <f>Data!C183</f>
        <v>63</v>
      </c>
      <c r="E89" s="324" t="s">
        <v>862</v>
      </c>
    </row>
    <row r="90" spans="1:5" x14ac:dyDescent="0.2">
      <c r="A90" s="324" t="str">
        <f>IF(Data!E183="","",Data!E183)</f>
        <v/>
      </c>
      <c r="B90" s="1" t="str">
        <f>IF(NOT(OR(AND(ISNUMBER(A90),A90&gt;=0),A90="")),C90,"")</f>
        <v/>
      </c>
      <c r="C90" s="17">
        <f t="shared" si="4"/>
        <v>89</v>
      </c>
      <c r="D90" s="4">
        <f>Data!C183</f>
        <v>63</v>
      </c>
      <c r="E90" s="324" t="s">
        <v>858</v>
      </c>
    </row>
    <row r="91" spans="1:5" x14ac:dyDescent="0.2">
      <c r="A91" s="324">
        <f>IF(Data!E184="","",Data!E184)</f>
        <v>56</v>
      </c>
      <c r="B91" s="1" t="str">
        <f>IF(A91="",C91,"")</f>
        <v/>
      </c>
      <c r="C91" s="17">
        <f t="shared" si="4"/>
        <v>90</v>
      </c>
      <c r="D91" s="4">
        <f>Data!C184</f>
        <v>64</v>
      </c>
      <c r="E91" s="324" t="s">
        <v>862</v>
      </c>
    </row>
    <row r="92" spans="1:5" x14ac:dyDescent="0.2">
      <c r="A92" s="324">
        <f>IF(Data!E184="","",Data!E184)</f>
        <v>56</v>
      </c>
      <c r="B92" s="1" t="str">
        <f>IF(NOT(OR(AND(ISNUMBER(A92),A92&gt;=0),A92="")),C92,"")</f>
        <v/>
      </c>
      <c r="C92" s="17">
        <f t="shared" si="4"/>
        <v>91</v>
      </c>
      <c r="D92" s="4">
        <f>Data!C184</f>
        <v>64</v>
      </c>
      <c r="E92" s="324" t="s">
        <v>858</v>
      </c>
    </row>
    <row r="93" spans="1:5" x14ac:dyDescent="0.2">
      <c r="A93" s="324">
        <f>IF(Data!E185="","",Data!E185)</f>
        <v>49</v>
      </c>
      <c r="B93" s="1" t="str">
        <f>IF(A93="",C93,"")</f>
        <v/>
      </c>
      <c r="C93" s="17">
        <f t="shared" si="4"/>
        <v>92</v>
      </c>
      <c r="D93" s="4">
        <f>Data!C185</f>
        <v>65</v>
      </c>
      <c r="E93" s="324" t="s">
        <v>862</v>
      </c>
    </row>
    <row r="94" spans="1:5" s="78" customFormat="1" ht="15" thickBot="1" x14ac:dyDescent="0.25">
      <c r="A94" s="78">
        <f>IF(Data!E185="","",Data!E185)</f>
        <v>49</v>
      </c>
      <c r="B94" s="1" t="str">
        <f>IF(NOT(OR(AND(ISNUMBER(A94),A94&gt;=0),A94="")),C94,"")</f>
        <v/>
      </c>
      <c r="C94" s="78">
        <f t="shared" si="4"/>
        <v>93</v>
      </c>
      <c r="D94" s="78">
        <f>Data!C185</f>
        <v>65</v>
      </c>
      <c r="E94" s="78" t="s">
        <v>858</v>
      </c>
    </row>
    <row r="95" spans="1:5" x14ac:dyDescent="0.2">
      <c r="A95" s="324">
        <f>IF(Data!E189="","",Data!E189)</f>
        <v>46</v>
      </c>
      <c r="B95" s="1" t="str">
        <f>IF(A95="",C95,"")</f>
        <v/>
      </c>
      <c r="C95" s="17">
        <f t="shared" si="4"/>
        <v>94</v>
      </c>
      <c r="D95" s="4">
        <f>Data!C189</f>
        <v>66</v>
      </c>
      <c r="E95" s="324" t="s">
        <v>862</v>
      </c>
    </row>
    <row r="96" spans="1:5" x14ac:dyDescent="0.2">
      <c r="A96" s="324">
        <f>IF(Data!E189="","",Data!E189)</f>
        <v>46</v>
      </c>
      <c r="B96" s="1" t="str">
        <f>IF(NOT(OR(AND(ISNUMBER(A96),A96&gt;=0),A96="")),C96,"")</f>
        <v/>
      </c>
      <c r="C96" s="17">
        <f t="shared" si="4"/>
        <v>95</v>
      </c>
      <c r="D96" s="4">
        <f>Data!C189</f>
        <v>66</v>
      </c>
      <c r="E96" s="324" t="s">
        <v>858</v>
      </c>
    </row>
    <row r="97" spans="1:5" x14ac:dyDescent="0.2">
      <c r="A97" s="324" t="str">
        <f>IF(Data!E190="","",Data!E190)</f>
        <v/>
      </c>
      <c r="B97" s="1">
        <f>IF(A97="",C97,"")</f>
        <v>96</v>
      </c>
      <c r="C97" s="17">
        <f t="shared" si="4"/>
        <v>96</v>
      </c>
      <c r="D97" s="4">
        <f>Data!C190</f>
        <v>67</v>
      </c>
      <c r="E97" s="324" t="s">
        <v>862</v>
      </c>
    </row>
    <row r="98" spans="1:5" x14ac:dyDescent="0.2">
      <c r="A98" s="324" t="str">
        <f>IF(Data!E190="","",Data!E190)</f>
        <v/>
      </c>
      <c r="B98" s="1" t="str">
        <f>IF(NOT(OR(AND(ISNUMBER(A98),A98&gt;=0),A98="")),C98,"")</f>
        <v/>
      </c>
      <c r="C98" s="17">
        <f t="shared" si="4"/>
        <v>97</v>
      </c>
      <c r="D98" s="4">
        <f>Data!C190</f>
        <v>67</v>
      </c>
      <c r="E98" s="324" t="s">
        <v>858</v>
      </c>
    </row>
    <row r="99" spans="1:5" x14ac:dyDescent="0.2">
      <c r="A99" s="324" t="str">
        <f>IF(Data!E191="","",Data!E191)</f>
        <v/>
      </c>
      <c r="B99" s="1">
        <f>IF(A99="",C99,"")</f>
        <v>98</v>
      </c>
      <c r="C99" s="17">
        <f t="shared" si="4"/>
        <v>98</v>
      </c>
      <c r="D99" s="4">
        <f>Data!C191</f>
        <v>68</v>
      </c>
      <c r="E99" s="324" t="s">
        <v>862</v>
      </c>
    </row>
    <row r="100" spans="1:5" x14ac:dyDescent="0.2">
      <c r="A100" s="324" t="str">
        <f>IF(Data!E191="","",Data!E191)</f>
        <v/>
      </c>
      <c r="B100" s="1" t="str">
        <f>IF(NOT(OR(AND(ISNUMBER(A100),A100&gt;=0),A100="")),C100,"")</f>
        <v/>
      </c>
      <c r="C100" s="17">
        <f t="shared" si="4"/>
        <v>99</v>
      </c>
      <c r="D100" s="4">
        <f>Data!C191</f>
        <v>68</v>
      </c>
      <c r="E100" s="324" t="s">
        <v>858</v>
      </c>
    </row>
    <row r="101" spans="1:5" x14ac:dyDescent="0.2">
      <c r="A101" s="324">
        <f>IF(Data!E192="","",Data!E192)</f>
        <v>49</v>
      </c>
      <c r="B101" s="1" t="str">
        <f>IF(A101="",C101,"")</f>
        <v/>
      </c>
      <c r="C101" s="17">
        <f t="shared" si="4"/>
        <v>100</v>
      </c>
      <c r="D101" s="4">
        <f>Data!C192</f>
        <v>69</v>
      </c>
      <c r="E101" s="324" t="s">
        <v>862</v>
      </c>
    </row>
    <row r="102" spans="1:5" x14ac:dyDescent="0.2">
      <c r="A102" s="324">
        <f>IF(Data!E192="","",Data!E192)</f>
        <v>49</v>
      </c>
      <c r="B102" s="1" t="str">
        <f>IF(NOT(OR(AND(ISNUMBER(A102),A102&gt;=0),A102="")),C102,"")</f>
        <v/>
      </c>
      <c r="C102" s="17">
        <f t="shared" si="4"/>
        <v>101</v>
      </c>
      <c r="D102" s="4">
        <f>Data!C192</f>
        <v>69</v>
      </c>
      <c r="E102" s="324" t="s">
        <v>858</v>
      </c>
    </row>
    <row r="103" spans="1:5" x14ac:dyDescent="0.2">
      <c r="A103" s="324">
        <f>IF(Data!E193="","",Data!E193)</f>
        <v>53</v>
      </c>
      <c r="B103" s="1" t="str">
        <f>IF(A103="",C103,"")</f>
        <v/>
      </c>
      <c r="C103" s="17">
        <f t="shared" si="4"/>
        <v>102</v>
      </c>
      <c r="D103" s="4">
        <f>Data!C193</f>
        <v>70</v>
      </c>
      <c r="E103" s="324" t="s">
        <v>862</v>
      </c>
    </row>
    <row r="104" spans="1:5" x14ac:dyDescent="0.2">
      <c r="A104" s="324">
        <f>IF(Data!E193="","",Data!E193)</f>
        <v>53</v>
      </c>
      <c r="B104" s="1" t="str">
        <f>IF(NOT(OR(AND(ISNUMBER(A104),A104&gt;=0),A104="")),C104,"")</f>
        <v/>
      </c>
      <c r="C104" s="17">
        <f t="shared" si="4"/>
        <v>103</v>
      </c>
      <c r="D104" s="4">
        <f>Data!C193</f>
        <v>70</v>
      </c>
      <c r="E104" s="324" t="s">
        <v>858</v>
      </c>
    </row>
    <row r="105" spans="1:5" x14ac:dyDescent="0.2">
      <c r="A105" s="324">
        <f>IF(Data!E195="","",Data!E195)</f>
        <v>27</v>
      </c>
      <c r="B105" s="1" t="str">
        <f>IF(A105="",C105,"")</f>
        <v/>
      </c>
      <c r="C105" s="17">
        <f t="shared" si="4"/>
        <v>104</v>
      </c>
      <c r="D105" s="4">
        <f>Data!C195</f>
        <v>71</v>
      </c>
      <c r="E105" s="324" t="s">
        <v>862</v>
      </c>
    </row>
    <row r="106" spans="1:5" x14ac:dyDescent="0.2">
      <c r="A106" s="324">
        <f>IF(Data!E195="","",Data!E195)</f>
        <v>27</v>
      </c>
      <c r="B106" s="1" t="str">
        <f>IF(NOT(OR(AND(ISNUMBER(A106),A106&gt;=0),A106="")),C106,"")</f>
        <v/>
      </c>
      <c r="C106" s="17">
        <f t="shared" si="4"/>
        <v>105</v>
      </c>
      <c r="D106" s="4">
        <f>Data!C195</f>
        <v>71</v>
      </c>
      <c r="E106" s="324" t="s">
        <v>858</v>
      </c>
    </row>
    <row r="107" spans="1:5" x14ac:dyDescent="0.2">
      <c r="A107" s="324" t="str">
        <f>IF(Data!E196="","",Data!E196)</f>
        <v/>
      </c>
      <c r="B107" s="1">
        <f>IF(A107="",C107,"")</f>
        <v>106</v>
      </c>
      <c r="C107" s="17">
        <f t="shared" si="4"/>
        <v>106</v>
      </c>
      <c r="D107" s="4">
        <f>Data!C196</f>
        <v>72</v>
      </c>
      <c r="E107" s="324" t="s">
        <v>862</v>
      </c>
    </row>
    <row r="108" spans="1:5" x14ac:dyDescent="0.2">
      <c r="A108" s="324" t="str">
        <f>IF(Data!E196="","",Data!E196)</f>
        <v/>
      </c>
      <c r="B108" s="1" t="str">
        <f>IF(NOT(OR(AND(ISNUMBER(A108),A108&gt;=0),A108="")),C108,"")</f>
        <v/>
      </c>
      <c r="C108" s="17">
        <f t="shared" si="4"/>
        <v>107</v>
      </c>
      <c r="D108" s="4">
        <f>Data!C196</f>
        <v>72</v>
      </c>
      <c r="E108" s="324" t="s">
        <v>858</v>
      </c>
    </row>
    <row r="109" spans="1:5" x14ac:dyDescent="0.2">
      <c r="A109" s="324" t="str">
        <f>IF(Data!E197="","",Data!E197)</f>
        <v/>
      </c>
      <c r="B109" s="1">
        <f>IF(A109="",C109,"")</f>
        <v>108</v>
      </c>
      <c r="C109" s="17">
        <f t="shared" si="4"/>
        <v>108</v>
      </c>
      <c r="D109" s="4">
        <f>Data!C197</f>
        <v>73</v>
      </c>
      <c r="E109" s="324" t="s">
        <v>862</v>
      </c>
    </row>
    <row r="110" spans="1:5" x14ac:dyDescent="0.2">
      <c r="A110" s="324" t="str">
        <f>IF(Data!E197="","",Data!E197)</f>
        <v/>
      </c>
      <c r="B110" s="1" t="str">
        <f>IF(NOT(OR(AND(ISNUMBER(A110),A110&gt;=0),A110="")),C110,"")</f>
        <v/>
      </c>
      <c r="C110" s="17">
        <f t="shared" si="4"/>
        <v>109</v>
      </c>
      <c r="D110" s="4">
        <f>Data!C197</f>
        <v>73</v>
      </c>
      <c r="E110" s="324" t="s">
        <v>858</v>
      </c>
    </row>
    <row r="111" spans="1:5" x14ac:dyDescent="0.2">
      <c r="A111" s="324">
        <f>IF(Data!E198="","",Data!E198)</f>
        <v>28</v>
      </c>
      <c r="B111" s="1" t="str">
        <f>IF(A111="",C111,"")</f>
        <v/>
      </c>
      <c r="C111" s="17">
        <f t="shared" si="4"/>
        <v>110</v>
      </c>
      <c r="D111" s="4">
        <f>Data!C198</f>
        <v>74</v>
      </c>
      <c r="E111" s="324" t="s">
        <v>862</v>
      </c>
    </row>
    <row r="112" spans="1:5" x14ac:dyDescent="0.2">
      <c r="A112" s="324">
        <f>IF(Data!E198="","",Data!E198)</f>
        <v>28</v>
      </c>
      <c r="B112" s="1" t="str">
        <f>IF(NOT(OR(AND(ISNUMBER(A112),A112&gt;=0),A112="")),C112,"")</f>
        <v/>
      </c>
      <c r="C112" s="17">
        <f t="shared" si="4"/>
        <v>111</v>
      </c>
      <c r="D112" s="4">
        <f>Data!C198</f>
        <v>74</v>
      </c>
      <c r="E112" s="324" t="s">
        <v>858</v>
      </c>
    </row>
    <row r="113" spans="1:5" x14ac:dyDescent="0.2">
      <c r="A113" s="324">
        <f>IF(Data!E199="","",Data!E199)</f>
        <v>15</v>
      </c>
      <c r="B113" s="1" t="str">
        <f>IF(A113="",C113,"")</f>
        <v/>
      </c>
      <c r="C113" s="17">
        <f t="shared" si="4"/>
        <v>112</v>
      </c>
      <c r="D113" s="4">
        <f>Data!C199</f>
        <v>75</v>
      </c>
      <c r="E113" s="324" t="s">
        <v>862</v>
      </c>
    </row>
    <row r="114" spans="1:5" s="78" customFormat="1" ht="15" thickBot="1" x14ac:dyDescent="0.25">
      <c r="A114" s="78">
        <f>IF(Data!E199="","",Data!E199)</f>
        <v>15</v>
      </c>
      <c r="B114" s="1" t="str">
        <f>IF(NOT(OR(AND(ISNUMBER(A114),A114&gt;=0),A114="")),C114,"")</f>
        <v/>
      </c>
      <c r="C114" s="78">
        <f>C113+1</f>
        <v>113</v>
      </c>
      <c r="D114" s="78">
        <f>Data!C199</f>
        <v>75</v>
      </c>
      <c r="E114" s="78" t="s">
        <v>858</v>
      </c>
    </row>
    <row r="115" spans="1:5" x14ac:dyDescent="0.2">
      <c r="A115" s="324">
        <f>IF(Data!E203="","",Data!E203)</f>
        <v>31</v>
      </c>
      <c r="B115" s="1" t="str">
        <f>IF(A115="",C115,"")</f>
        <v/>
      </c>
      <c r="C115" s="17">
        <f>C114+1</f>
        <v>114</v>
      </c>
      <c r="D115" s="4">
        <f>Data!C203</f>
        <v>76</v>
      </c>
      <c r="E115" s="324" t="s">
        <v>862</v>
      </c>
    </row>
    <row r="116" spans="1:5" x14ac:dyDescent="0.2">
      <c r="A116" s="324">
        <f>IF(Data!E203="","",Data!E203)</f>
        <v>31</v>
      </c>
      <c r="B116" s="1" t="str">
        <f>IF(NOT(OR(AND(ISNUMBER(A116),A116&gt;=0),A116="")),C116,"")</f>
        <v/>
      </c>
      <c r="C116" s="17">
        <f t="shared" si="4"/>
        <v>115</v>
      </c>
      <c r="D116" s="4">
        <f>Data!C203</f>
        <v>76</v>
      </c>
      <c r="E116" s="324" t="s">
        <v>858</v>
      </c>
    </row>
    <row r="117" spans="1:5" x14ac:dyDescent="0.2">
      <c r="A117" s="324" t="str">
        <f>IF(Data!E204="","",Data!E204)</f>
        <v/>
      </c>
      <c r="B117" s="1">
        <f>IF(A117="",C117,"")</f>
        <v>116</v>
      </c>
      <c r="C117" s="17">
        <f t="shared" si="4"/>
        <v>116</v>
      </c>
      <c r="D117" s="4">
        <f>Data!C204</f>
        <v>77</v>
      </c>
      <c r="E117" s="324" t="s">
        <v>862</v>
      </c>
    </row>
    <row r="118" spans="1:5" x14ac:dyDescent="0.2">
      <c r="A118" s="324" t="str">
        <f>IF(Data!E204="","",Data!E204)</f>
        <v/>
      </c>
      <c r="B118" s="1" t="str">
        <f>IF(NOT(OR(AND(ISNUMBER(A118),A118&gt;=0),A118="")),C118,"")</f>
        <v/>
      </c>
      <c r="C118" s="17">
        <f t="shared" si="4"/>
        <v>117</v>
      </c>
      <c r="D118" s="4">
        <f>Data!C204</f>
        <v>77</v>
      </c>
      <c r="E118" s="324" t="s">
        <v>858</v>
      </c>
    </row>
    <row r="119" spans="1:5" x14ac:dyDescent="0.2">
      <c r="A119" s="324" t="str">
        <f>IF(Data!E205="","",Data!E205)</f>
        <v/>
      </c>
      <c r="B119" s="1">
        <f>IF(A119="",C119,"")</f>
        <v>118</v>
      </c>
      <c r="C119" s="17">
        <f t="shared" si="4"/>
        <v>118</v>
      </c>
      <c r="D119" s="4">
        <f>Data!C205</f>
        <v>78</v>
      </c>
      <c r="E119" s="324" t="s">
        <v>862</v>
      </c>
    </row>
    <row r="120" spans="1:5" x14ac:dyDescent="0.2">
      <c r="A120" s="324" t="str">
        <f>IF(Data!E205="","",Data!E205)</f>
        <v/>
      </c>
      <c r="B120" s="1" t="str">
        <f>IF(NOT(OR(AND(ISNUMBER(A120),A120&gt;=0),A120="")),C120,"")</f>
        <v/>
      </c>
      <c r="C120" s="17">
        <f t="shared" si="4"/>
        <v>119</v>
      </c>
      <c r="D120" s="4">
        <f>Data!C205</f>
        <v>78</v>
      </c>
      <c r="E120" s="324" t="s">
        <v>858</v>
      </c>
    </row>
    <row r="121" spans="1:5" x14ac:dyDescent="0.2">
      <c r="A121" s="324">
        <f>IF(Data!E206="","",Data!E206)</f>
        <v>37</v>
      </c>
      <c r="B121" s="1" t="str">
        <f>IF(A121="",C121,"")</f>
        <v/>
      </c>
      <c r="C121" s="17">
        <f t="shared" si="4"/>
        <v>120</v>
      </c>
      <c r="D121" s="4">
        <f>Data!C206</f>
        <v>79</v>
      </c>
      <c r="E121" s="324" t="s">
        <v>862</v>
      </c>
    </row>
    <row r="122" spans="1:5" x14ac:dyDescent="0.2">
      <c r="A122" s="324">
        <f>IF(Data!E206="","",Data!E206)</f>
        <v>37</v>
      </c>
      <c r="B122" s="1" t="str">
        <f>IF(NOT(OR(AND(ISNUMBER(A122),A122&gt;=0),A122="")),C122,"")</f>
        <v/>
      </c>
      <c r="C122" s="17">
        <f t="shared" si="4"/>
        <v>121</v>
      </c>
      <c r="D122" s="4">
        <f>Data!C206</f>
        <v>79</v>
      </c>
      <c r="E122" s="324" t="s">
        <v>858</v>
      </c>
    </row>
    <row r="123" spans="1:5" x14ac:dyDescent="0.2">
      <c r="A123" s="324">
        <f>IF(Data!E207="","",Data!E207)</f>
        <v>20</v>
      </c>
      <c r="B123" s="1" t="str">
        <f>IF(A123="",C123,"")</f>
        <v/>
      </c>
      <c r="C123" s="17">
        <f t="shared" si="4"/>
        <v>122</v>
      </c>
      <c r="D123" s="4">
        <f>Data!C207</f>
        <v>80</v>
      </c>
      <c r="E123" s="324" t="s">
        <v>862</v>
      </c>
    </row>
    <row r="124" spans="1:5" x14ac:dyDescent="0.2">
      <c r="A124" s="324">
        <f>IF(Data!E207="","",Data!E207)</f>
        <v>20</v>
      </c>
      <c r="B124" s="1" t="str">
        <f>IF(NOT(OR(AND(ISNUMBER(A124),A124&gt;=0),A124="")),C124,"")</f>
        <v/>
      </c>
      <c r="C124" s="17">
        <f t="shared" si="4"/>
        <v>123</v>
      </c>
      <c r="D124" s="4">
        <f>Data!C207</f>
        <v>80</v>
      </c>
      <c r="E124" s="324" t="s">
        <v>858</v>
      </c>
    </row>
    <row r="125" spans="1:5" x14ac:dyDescent="0.2">
      <c r="A125" s="324">
        <f>IF(Data!E209="","",Data!E209)</f>
        <v>55</v>
      </c>
      <c r="B125" s="1" t="str">
        <f>IF(A125="",C125,"")</f>
        <v/>
      </c>
      <c r="C125" s="17">
        <f t="shared" si="4"/>
        <v>124</v>
      </c>
      <c r="D125" s="4">
        <f>Data!C209</f>
        <v>81</v>
      </c>
      <c r="E125" s="324" t="s">
        <v>862</v>
      </c>
    </row>
    <row r="126" spans="1:5" x14ac:dyDescent="0.2">
      <c r="A126" s="324">
        <f>IF(Data!E209="","",Data!E209)</f>
        <v>55</v>
      </c>
      <c r="B126" s="1" t="str">
        <f>IF(NOT(OR(AND(ISNUMBER(A126),A126&gt;=0),A126="")),C126,"")</f>
        <v/>
      </c>
      <c r="C126" s="17">
        <f t="shared" si="4"/>
        <v>125</v>
      </c>
      <c r="D126" s="4">
        <f>Data!C209</f>
        <v>81</v>
      </c>
      <c r="E126" s="324" t="s">
        <v>858</v>
      </c>
    </row>
    <row r="127" spans="1:5" x14ac:dyDescent="0.2">
      <c r="A127" s="324" t="str">
        <f>IF(Data!E210="","",Data!E210)</f>
        <v/>
      </c>
      <c r="B127" s="1">
        <f>IF(A127="",C127,"")</f>
        <v>126</v>
      </c>
      <c r="C127" s="17">
        <f t="shared" si="4"/>
        <v>126</v>
      </c>
      <c r="D127" s="4">
        <f>Data!C210</f>
        <v>82</v>
      </c>
      <c r="E127" s="324" t="s">
        <v>862</v>
      </c>
    </row>
    <row r="128" spans="1:5" x14ac:dyDescent="0.2">
      <c r="A128" s="324" t="str">
        <f>IF(Data!E210="","",Data!E210)</f>
        <v/>
      </c>
      <c r="B128" s="1" t="str">
        <f>IF(NOT(OR(AND(ISNUMBER(A128),A128&gt;=0),A128="")),C128,"")</f>
        <v/>
      </c>
      <c r="C128" s="17">
        <f t="shared" si="4"/>
        <v>127</v>
      </c>
      <c r="D128" s="4">
        <f>Data!C210</f>
        <v>82</v>
      </c>
      <c r="E128" s="324" t="s">
        <v>858</v>
      </c>
    </row>
    <row r="129" spans="1:5" x14ac:dyDescent="0.2">
      <c r="A129" s="324" t="str">
        <f>IF(Data!E211="","",Data!E211)</f>
        <v/>
      </c>
      <c r="B129" s="1">
        <f>IF(A129="",C129,"")</f>
        <v>128</v>
      </c>
      <c r="C129" s="17">
        <f t="shared" si="4"/>
        <v>128</v>
      </c>
      <c r="D129" s="4">
        <f>Data!C211</f>
        <v>83</v>
      </c>
      <c r="E129" s="324" t="s">
        <v>862</v>
      </c>
    </row>
    <row r="130" spans="1:5" x14ac:dyDescent="0.2">
      <c r="A130" s="324" t="str">
        <f>IF(Data!E211="","",Data!E211)</f>
        <v/>
      </c>
      <c r="B130" s="1" t="str">
        <f>IF(NOT(OR(AND(ISNUMBER(A130),A130&gt;=0),A130="")),C130,"")</f>
        <v/>
      </c>
      <c r="C130" s="17">
        <f t="shared" si="4"/>
        <v>129</v>
      </c>
      <c r="D130" s="4">
        <f>Data!C211</f>
        <v>83</v>
      </c>
      <c r="E130" s="324" t="s">
        <v>858</v>
      </c>
    </row>
    <row r="131" spans="1:5" x14ac:dyDescent="0.2">
      <c r="A131" s="324">
        <f>IF(Data!E212="","",Data!E212)</f>
        <v>48</v>
      </c>
      <c r="B131" s="1" t="str">
        <f>IF(A131="",C131,"")</f>
        <v/>
      </c>
      <c r="C131" s="17">
        <f t="shared" si="4"/>
        <v>130</v>
      </c>
      <c r="D131" s="4">
        <f>Data!C212</f>
        <v>84</v>
      </c>
      <c r="E131" s="324" t="s">
        <v>862</v>
      </c>
    </row>
    <row r="132" spans="1:5" x14ac:dyDescent="0.2">
      <c r="A132" s="324">
        <f>IF(Data!E212="","",Data!E212)</f>
        <v>48</v>
      </c>
      <c r="B132" s="1" t="str">
        <f>IF(NOT(OR(AND(ISNUMBER(A132),A132&gt;=0),A132="")),C132,"")</f>
        <v/>
      </c>
      <c r="C132" s="17">
        <f t="shared" si="4"/>
        <v>131</v>
      </c>
      <c r="D132" s="4">
        <f>Data!C212</f>
        <v>84</v>
      </c>
      <c r="E132" s="324" t="s">
        <v>858</v>
      </c>
    </row>
    <row r="133" spans="1:5" x14ac:dyDescent="0.2">
      <c r="A133" s="324">
        <f>IF(Data!E213="","",Data!E213)</f>
        <v>42</v>
      </c>
      <c r="B133" s="1" t="str">
        <f>IF(A133="",C133,"")</f>
        <v/>
      </c>
      <c r="C133" s="17">
        <f t="shared" si="4"/>
        <v>132</v>
      </c>
      <c r="D133" s="4">
        <f>Data!C213</f>
        <v>85</v>
      </c>
      <c r="E133" s="324" t="s">
        <v>862</v>
      </c>
    </row>
    <row r="134" spans="1:5" s="78" customFormat="1" ht="15" thickBot="1" x14ac:dyDescent="0.25">
      <c r="A134" s="78">
        <f>IF(Data!E213="","",Data!E213)</f>
        <v>42</v>
      </c>
      <c r="B134" s="1" t="str">
        <f>IF(NOT(OR(AND(ISNUMBER(A134),A134&gt;=0),A134="")),C134,"")</f>
        <v/>
      </c>
      <c r="C134" s="78">
        <f>C133+1</f>
        <v>133</v>
      </c>
      <c r="D134" s="78">
        <f>Data!C213</f>
        <v>85</v>
      </c>
      <c r="E134" s="78" t="s">
        <v>858</v>
      </c>
    </row>
    <row r="135" spans="1:5" x14ac:dyDescent="0.2">
      <c r="A135" s="324">
        <f>IF(Data!E217="","",Data!E217)</f>
        <v>62</v>
      </c>
      <c r="B135" s="1" t="str">
        <f>IF(A135="",C135,"")</f>
        <v/>
      </c>
      <c r="C135" s="17">
        <f>C134+1</f>
        <v>134</v>
      </c>
      <c r="D135" s="4">
        <f>Data!C217</f>
        <v>86</v>
      </c>
      <c r="E135" s="324" t="s">
        <v>862</v>
      </c>
    </row>
    <row r="136" spans="1:5" x14ac:dyDescent="0.2">
      <c r="A136" s="324">
        <f>IF(Data!E217="","",Data!E217)</f>
        <v>62</v>
      </c>
      <c r="B136" s="1" t="str">
        <f>IF(NOT(OR(AND(ISNUMBER(A136),A136&gt;=0),A136="")),C136,"")</f>
        <v/>
      </c>
      <c r="C136" s="17">
        <f t="shared" si="4"/>
        <v>135</v>
      </c>
      <c r="D136" s="4">
        <f>Data!C217</f>
        <v>86</v>
      </c>
      <c r="E136" s="324" t="s">
        <v>858</v>
      </c>
    </row>
    <row r="137" spans="1:5" x14ac:dyDescent="0.2">
      <c r="A137" s="324" t="str">
        <f>IF(Data!E218="","",Data!E218)</f>
        <v/>
      </c>
      <c r="B137" s="1">
        <f>IF(A137="",C137,"")</f>
        <v>136</v>
      </c>
      <c r="C137" s="17">
        <f t="shared" si="4"/>
        <v>136</v>
      </c>
      <c r="D137" s="4">
        <f>Data!C218</f>
        <v>87</v>
      </c>
      <c r="E137" s="324" t="s">
        <v>862</v>
      </c>
    </row>
    <row r="138" spans="1:5" x14ac:dyDescent="0.2">
      <c r="A138" s="324" t="str">
        <f>IF(Data!E218="","",Data!E218)</f>
        <v/>
      </c>
      <c r="B138" s="1" t="str">
        <f>IF(NOT(OR(AND(ISNUMBER(A138),A138&gt;=0),A138="")),C138,"")</f>
        <v/>
      </c>
      <c r="C138" s="17">
        <f t="shared" si="4"/>
        <v>137</v>
      </c>
      <c r="D138" s="4">
        <f>Data!C218</f>
        <v>87</v>
      </c>
      <c r="E138" s="324" t="s">
        <v>858</v>
      </c>
    </row>
    <row r="139" spans="1:5" x14ac:dyDescent="0.2">
      <c r="A139" s="324" t="str">
        <f>IF(Data!E219="","",Data!E219)</f>
        <v/>
      </c>
      <c r="B139" s="1">
        <f>IF(A139="",C139,"")</f>
        <v>138</v>
      </c>
      <c r="C139" s="17">
        <f t="shared" si="4"/>
        <v>138</v>
      </c>
      <c r="D139" s="4">
        <f>Data!C219</f>
        <v>88</v>
      </c>
      <c r="E139" s="324" t="s">
        <v>862</v>
      </c>
    </row>
    <row r="140" spans="1:5" x14ac:dyDescent="0.2">
      <c r="A140" s="324" t="str">
        <f>IF(Data!E219="","",Data!E219)</f>
        <v/>
      </c>
      <c r="B140" s="1" t="str">
        <f>IF(NOT(OR(AND(ISNUMBER(A140),A140&gt;=0),A140="")),C140,"")</f>
        <v/>
      </c>
      <c r="C140" s="17">
        <f t="shared" ref="C140:C205" si="5">C139+1</f>
        <v>139</v>
      </c>
      <c r="D140" s="4">
        <f>Data!C219</f>
        <v>88</v>
      </c>
      <c r="E140" s="324" t="s">
        <v>858</v>
      </c>
    </row>
    <row r="141" spans="1:5" x14ac:dyDescent="0.2">
      <c r="A141" s="324">
        <f>IF(Data!E220="","",Data!E220)</f>
        <v>54</v>
      </c>
      <c r="B141" s="1" t="str">
        <f>IF(A141="",C141,"")</f>
        <v/>
      </c>
      <c r="C141" s="17">
        <f t="shared" si="5"/>
        <v>140</v>
      </c>
      <c r="D141" s="4">
        <f>Data!C220</f>
        <v>89</v>
      </c>
      <c r="E141" s="324" t="s">
        <v>862</v>
      </c>
    </row>
    <row r="142" spans="1:5" x14ac:dyDescent="0.2">
      <c r="A142" s="324">
        <f>IF(Data!E220="","",Data!E220)</f>
        <v>54</v>
      </c>
      <c r="B142" s="1" t="str">
        <f>IF(NOT(OR(AND(ISNUMBER(A142),A142&gt;=0),A142="")),C142,"")</f>
        <v/>
      </c>
      <c r="C142" s="17">
        <f t="shared" si="5"/>
        <v>141</v>
      </c>
      <c r="D142" s="4">
        <f>Data!C220</f>
        <v>89</v>
      </c>
      <c r="E142" s="324" t="s">
        <v>858</v>
      </c>
    </row>
    <row r="143" spans="1:5" x14ac:dyDescent="0.2">
      <c r="A143" s="324">
        <f>IF(Data!E221="","",Data!E221)</f>
        <v>52</v>
      </c>
      <c r="B143" s="1" t="str">
        <f>IF(A143="",C143,"")</f>
        <v/>
      </c>
      <c r="C143" s="17">
        <f t="shared" si="5"/>
        <v>142</v>
      </c>
      <c r="D143" s="4">
        <f>Data!C221</f>
        <v>90</v>
      </c>
      <c r="E143" s="324" t="s">
        <v>862</v>
      </c>
    </row>
    <row r="144" spans="1:5" x14ac:dyDescent="0.2">
      <c r="A144" s="324">
        <f>IF(Data!E221="","",Data!E221)</f>
        <v>52</v>
      </c>
      <c r="B144" s="1" t="str">
        <f>IF(NOT(OR(AND(ISNUMBER(A144),A144&gt;=0),A144="")),C144,"")</f>
        <v/>
      </c>
      <c r="C144" s="17">
        <f t="shared" si="5"/>
        <v>143</v>
      </c>
      <c r="D144" s="4">
        <f>Data!C221</f>
        <v>90</v>
      </c>
      <c r="E144" s="324" t="s">
        <v>858</v>
      </c>
    </row>
    <row r="145" spans="1:5" x14ac:dyDescent="0.2">
      <c r="A145" s="324">
        <f>IF(Data!E223="","",Data!E223)</f>
        <v>75</v>
      </c>
      <c r="B145" s="1" t="str">
        <f>IF(A145="",C145,"")</f>
        <v/>
      </c>
      <c r="C145" s="17">
        <f t="shared" si="5"/>
        <v>144</v>
      </c>
      <c r="D145" s="4">
        <f>Data!C223</f>
        <v>91</v>
      </c>
      <c r="E145" s="324" t="s">
        <v>862</v>
      </c>
    </row>
    <row r="146" spans="1:5" x14ac:dyDescent="0.2">
      <c r="A146" s="324">
        <f>IF(Data!E223="","",Data!E223)</f>
        <v>75</v>
      </c>
      <c r="B146" s="1" t="str">
        <f>IF(NOT(OR(AND(ISNUMBER(A146),A146&gt;=0),A146="")),C146,"")</f>
        <v/>
      </c>
      <c r="C146" s="17">
        <f t="shared" si="5"/>
        <v>145</v>
      </c>
      <c r="D146" s="4">
        <f>Data!C223</f>
        <v>91</v>
      </c>
      <c r="E146" s="324" t="s">
        <v>858</v>
      </c>
    </row>
    <row r="147" spans="1:5" x14ac:dyDescent="0.2">
      <c r="A147" s="324" t="str">
        <f>IF(Data!E224="","",Data!E224)</f>
        <v/>
      </c>
      <c r="B147" s="1">
        <f>IF(A147="",C147,"")</f>
        <v>146</v>
      </c>
      <c r="C147" s="17">
        <f t="shared" si="5"/>
        <v>146</v>
      </c>
      <c r="D147" s="4">
        <f>Data!C224</f>
        <v>92</v>
      </c>
      <c r="E147" s="324" t="s">
        <v>862</v>
      </c>
    </row>
    <row r="148" spans="1:5" x14ac:dyDescent="0.2">
      <c r="A148" s="324" t="str">
        <f>IF(Data!E224="","",Data!E224)</f>
        <v/>
      </c>
      <c r="B148" s="1" t="str">
        <f>IF(NOT(OR(AND(ISNUMBER(A148),A148&gt;=0),A148="")),C148,"")</f>
        <v/>
      </c>
      <c r="C148" s="17">
        <f t="shared" si="5"/>
        <v>147</v>
      </c>
      <c r="D148" s="4">
        <f>Data!C224</f>
        <v>92</v>
      </c>
      <c r="E148" s="324" t="s">
        <v>858</v>
      </c>
    </row>
    <row r="149" spans="1:5" x14ac:dyDescent="0.2">
      <c r="A149" s="324" t="str">
        <f>IF(Data!E225="","",Data!E225)</f>
        <v/>
      </c>
      <c r="B149" s="1">
        <f>IF(A149="",C149,"")</f>
        <v>148</v>
      </c>
      <c r="C149" s="17">
        <f t="shared" si="5"/>
        <v>148</v>
      </c>
      <c r="D149" s="4">
        <f>Data!C225</f>
        <v>93</v>
      </c>
      <c r="E149" s="324" t="s">
        <v>862</v>
      </c>
    </row>
    <row r="150" spans="1:5" x14ac:dyDescent="0.2">
      <c r="A150" s="324" t="str">
        <f>IF(Data!E225="","",Data!E225)</f>
        <v/>
      </c>
      <c r="B150" s="1" t="str">
        <f>IF(NOT(OR(AND(ISNUMBER(A150),A150&gt;=0),A150="")),C150,"")</f>
        <v/>
      </c>
      <c r="C150" s="17">
        <f t="shared" si="5"/>
        <v>149</v>
      </c>
      <c r="D150" s="4">
        <f>Data!C225</f>
        <v>93</v>
      </c>
      <c r="E150" s="324" t="s">
        <v>858</v>
      </c>
    </row>
    <row r="151" spans="1:5" x14ac:dyDescent="0.2">
      <c r="A151" s="324">
        <f>IF(Data!E226="","",Data!E226)</f>
        <v>65</v>
      </c>
      <c r="B151" s="1" t="str">
        <f>IF(A151="",C151,"")</f>
        <v/>
      </c>
      <c r="C151" s="17">
        <f t="shared" si="5"/>
        <v>150</v>
      </c>
      <c r="D151" s="4">
        <f>Data!C226</f>
        <v>94</v>
      </c>
      <c r="E151" s="324" t="s">
        <v>862</v>
      </c>
    </row>
    <row r="152" spans="1:5" x14ac:dyDescent="0.2">
      <c r="A152" s="324">
        <f>IF(Data!E226="","",Data!E226)</f>
        <v>65</v>
      </c>
      <c r="B152" s="1" t="str">
        <f>IF(NOT(OR(AND(ISNUMBER(A152),A152&gt;=0),A152="")),C152,"")</f>
        <v/>
      </c>
      <c r="C152" s="17">
        <f t="shared" si="5"/>
        <v>151</v>
      </c>
      <c r="D152" s="4">
        <f>Data!C226</f>
        <v>94</v>
      </c>
      <c r="E152" s="324" t="s">
        <v>858</v>
      </c>
    </row>
    <row r="153" spans="1:5" x14ac:dyDescent="0.2">
      <c r="A153" s="324">
        <f>IF(Data!E227="","",Data!E227)</f>
        <v>62</v>
      </c>
      <c r="B153" s="1" t="str">
        <f>IF(A153="",C153,"")</f>
        <v/>
      </c>
      <c r="C153" s="17">
        <f t="shared" si="5"/>
        <v>152</v>
      </c>
      <c r="D153" s="4">
        <f>Data!C227</f>
        <v>95</v>
      </c>
      <c r="E153" s="324" t="s">
        <v>862</v>
      </c>
    </row>
    <row r="154" spans="1:5" s="78" customFormat="1" ht="15" thickBot="1" x14ac:dyDescent="0.25">
      <c r="A154" s="78">
        <f>IF(Data!E227="","",Data!E227)</f>
        <v>62</v>
      </c>
      <c r="B154" s="1" t="str">
        <f>IF(NOT(OR(AND(ISNUMBER(A154),A154&gt;=0),A154="")),C154,"")</f>
        <v/>
      </c>
      <c r="C154" s="78">
        <f t="shared" si="5"/>
        <v>153</v>
      </c>
      <c r="D154" s="78">
        <f>Data!C227</f>
        <v>95</v>
      </c>
      <c r="E154" s="78" t="s">
        <v>858</v>
      </c>
    </row>
    <row r="155" spans="1:5" x14ac:dyDescent="0.2">
      <c r="A155" s="324">
        <f>IF(Data!E231="","",Data!E231)</f>
        <v>68</v>
      </c>
      <c r="B155" s="1" t="str">
        <f>IF(A155="",C155,"")</f>
        <v/>
      </c>
      <c r="C155" s="17">
        <f t="shared" si="5"/>
        <v>154</v>
      </c>
      <c r="D155" s="4">
        <f>Data!C231</f>
        <v>96</v>
      </c>
      <c r="E155" s="324" t="s">
        <v>862</v>
      </c>
    </row>
    <row r="156" spans="1:5" x14ac:dyDescent="0.2">
      <c r="A156" s="324">
        <f>IF(Data!E231="","",Data!E231)</f>
        <v>68</v>
      </c>
      <c r="B156" s="1" t="str">
        <f>IF(NOT(OR(AND(ISNUMBER(A156),A156&gt;=0),A156="")),C156,"")</f>
        <v/>
      </c>
      <c r="C156" s="17">
        <f t="shared" si="5"/>
        <v>155</v>
      </c>
      <c r="D156" s="4">
        <f>Data!C231</f>
        <v>96</v>
      </c>
      <c r="E156" s="324" t="s">
        <v>858</v>
      </c>
    </row>
    <row r="157" spans="1:5" x14ac:dyDescent="0.2">
      <c r="A157" s="324" t="str">
        <f>IF(Data!E232="","",Data!E232)</f>
        <v/>
      </c>
      <c r="B157" s="1">
        <f>IF(A157="",C157,"")</f>
        <v>156</v>
      </c>
      <c r="C157" s="17">
        <f t="shared" si="5"/>
        <v>156</v>
      </c>
      <c r="D157" s="4">
        <f>Data!C232</f>
        <v>97</v>
      </c>
      <c r="E157" s="324" t="s">
        <v>862</v>
      </c>
    </row>
    <row r="158" spans="1:5" x14ac:dyDescent="0.2">
      <c r="A158" s="324" t="str">
        <f>IF(Data!E232="","",Data!E232)</f>
        <v/>
      </c>
      <c r="B158" s="1" t="str">
        <f>IF(NOT(OR(AND(ISNUMBER(A158),A158&gt;=0),A158="")),C158,"")</f>
        <v/>
      </c>
      <c r="C158" s="17">
        <f t="shared" si="5"/>
        <v>157</v>
      </c>
      <c r="D158" s="4">
        <f>Data!C232</f>
        <v>97</v>
      </c>
      <c r="E158" s="324" t="s">
        <v>858</v>
      </c>
    </row>
    <row r="159" spans="1:5" x14ac:dyDescent="0.2">
      <c r="A159" s="324" t="str">
        <f>IF(Data!E233="","",Data!E233)</f>
        <v/>
      </c>
      <c r="B159" s="1">
        <f>IF(A159="",C159,"")</f>
        <v>158</v>
      </c>
      <c r="C159" s="17">
        <f t="shared" si="5"/>
        <v>158</v>
      </c>
      <c r="D159" s="4">
        <f>Data!C233</f>
        <v>98</v>
      </c>
      <c r="E159" s="324" t="s">
        <v>862</v>
      </c>
    </row>
    <row r="160" spans="1:5" x14ac:dyDescent="0.2">
      <c r="A160" s="324" t="str">
        <f>IF(Data!E233="","",Data!E233)</f>
        <v/>
      </c>
      <c r="B160" s="1" t="str">
        <f>IF(NOT(OR(AND(ISNUMBER(A160),A160&gt;=0),A160="")),C160,"")</f>
        <v/>
      </c>
      <c r="C160" s="17">
        <f t="shared" si="5"/>
        <v>159</v>
      </c>
      <c r="D160" s="4">
        <f>Data!C233</f>
        <v>98</v>
      </c>
      <c r="E160" s="324" t="s">
        <v>858</v>
      </c>
    </row>
    <row r="161" spans="1:5" x14ac:dyDescent="0.2">
      <c r="A161" s="324">
        <f>IF(Data!E234="","",Data!E234)</f>
        <v>65</v>
      </c>
      <c r="B161" s="1" t="str">
        <f>IF(A161="",C161,"")</f>
        <v/>
      </c>
      <c r="C161" s="17">
        <f t="shared" si="5"/>
        <v>160</v>
      </c>
      <c r="D161" s="4">
        <f>Data!C234</f>
        <v>99</v>
      </c>
      <c r="E161" s="324" t="s">
        <v>862</v>
      </c>
    </row>
    <row r="162" spans="1:5" x14ac:dyDescent="0.2">
      <c r="A162" s="324">
        <f>IF(Data!E234="","",Data!E234)</f>
        <v>65</v>
      </c>
      <c r="B162" s="1" t="str">
        <f>IF(NOT(OR(AND(ISNUMBER(A162),A162&gt;=0),A162="")),C162,"")</f>
        <v/>
      </c>
      <c r="C162" s="17">
        <f t="shared" si="5"/>
        <v>161</v>
      </c>
      <c r="D162" s="4">
        <f>Data!C234</f>
        <v>99</v>
      </c>
      <c r="E162" s="324" t="s">
        <v>858</v>
      </c>
    </row>
    <row r="163" spans="1:5" x14ac:dyDescent="0.2">
      <c r="A163" s="324">
        <f>IF(Data!E235="","",Data!E235)</f>
        <v>60</v>
      </c>
      <c r="B163" s="1" t="str">
        <f>IF(A163="",C163,"")</f>
        <v/>
      </c>
      <c r="C163" s="17">
        <f t="shared" si="5"/>
        <v>162</v>
      </c>
      <c r="D163" s="4">
        <f>Data!C235</f>
        <v>100</v>
      </c>
      <c r="E163" s="324" t="s">
        <v>862</v>
      </c>
    </row>
    <row r="164" spans="1:5" x14ac:dyDescent="0.2">
      <c r="A164" s="324">
        <f>IF(Data!E235="","",Data!E235)</f>
        <v>60</v>
      </c>
      <c r="B164" s="1" t="str">
        <f>IF(NOT(OR(AND(ISNUMBER(A164),A164&gt;=0),A164="")),C164,"")</f>
        <v/>
      </c>
      <c r="C164" s="17">
        <f t="shared" si="5"/>
        <v>163</v>
      </c>
      <c r="D164" s="4">
        <f>Data!C235</f>
        <v>100</v>
      </c>
      <c r="E164" s="324" t="s">
        <v>858</v>
      </c>
    </row>
    <row r="165" spans="1:5" x14ac:dyDescent="0.2">
      <c r="A165" s="324">
        <f>IF(Data!E237="","",Data!E237)</f>
        <v>50</v>
      </c>
      <c r="B165" s="1" t="str">
        <f>IF(A165="",C165,"")</f>
        <v/>
      </c>
      <c r="C165" s="17">
        <f t="shared" si="5"/>
        <v>164</v>
      </c>
      <c r="D165" s="4">
        <f>Data!C237</f>
        <v>101</v>
      </c>
      <c r="E165" s="324" t="s">
        <v>862</v>
      </c>
    </row>
    <row r="166" spans="1:5" x14ac:dyDescent="0.2">
      <c r="A166" s="324">
        <f>IF(Data!E237="","",Data!E237)</f>
        <v>50</v>
      </c>
      <c r="B166" s="1" t="str">
        <f>IF(NOT(OR(AND(ISNUMBER(A166),A166&gt;=0),A166="")),C166,"")</f>
        <v/>
      </c>
      <c r="C166" s="17">
        <f t="shared" si="5"/>
        <v>165</v>
      </c>
      <c r="D166" s="4">
        <f>Data!C237</f>
        <v>101</v>
      </c>
      <c r="E166" s="324" t="s">
        <v>858</v>
      </c>
    </row>
    <row r="167" spans="1:5" x14ac:dyDescent="0.2">
      <c r="A167" s="324" t="str">
        <f>IF(Data!E238="","",Data!E238)</f>
        <v/>
      </c>
      <c r="B167" s="1">
        <f>IF(A167="",C167,"")</f>
        <v>166</v>
      </c>
      <c r="C167" s="17">
        <f t="shared" si="5"/>
        <v>166</v>
      </c>
      <c r="D167" s="4">
        <f>Data!C238</f>
        <v>102</v>
      </c>
      <c r="E167" s="324" t="s">
        <v>862</v>
      </c>
    </row>
    <row r="168" spans="1:5" x14ac:dyDescent="0.2">
      <c r="A168" s="324" t="str">
        <f>IF(Data!E238="","",Data!E238)</f>
        <v/>
      </c>
      <c r="B168" s="1" t="str">
        <f>IF(NOT(OR(AND(ISNUMBER(A168),A168&gt;=0),A168="")),C168,"")</f>
        <v/>
      </c>
      <c r="C168" s="17">
        <f t="shared" si="5"/>
        <v>167</v>
      </c>
      <c r="D168" s="4">
        <f>Data!C238</f>
        <v>102</v>
      </c>
      <c r="E168" s="324" t="s">
        <v>858</v>
      </c>
    </row>
    <row r="169" spans="1:5" x14ac:dyDescent="0.2">
      <c r="A169" s="324" t="str">
        <f>IF(Data!E239="","",Data!E239)</f>
        <v/>
      </c>
      <c r="B169" s="1">
        <f>IF(A169="",C169,"")</f>
        <v>168</v>
      </c>
      <c r="C169" s="17">
        <f t="shared" si="5"/>
        <v>168</v>
      </c>
      <c r="D169" s="4">
        <f>Data!C239</f>
        <v>103</v>
      </c>
      <c r="E169" s="324" t="s">
        <v>862</v>
      </c>
    </row>
    <row r="170" spans="1:5" x14ac:dyDescent="0.2">
      <c r="A170" s="324" t="str">
        <f>IF(Data!E239="","",Data!E239)</f>
        <v/>
      </c>
      <c r="B170" s="1" t="str">
        <f>IF(NOT(OR(AND(ISNUMBER(A170),A170&gt;=0),A170="")),C170,"")</f>
        <v/>
      </c>
      <c r="C170" s="17">
        <f t="shared" si="5"/>
        <v>169</v>
      </c>
      <c r="D170" s="4">
        <f>Data!C239</f>
        <v>103</v>
      </c>
      <c r="E170" s="324" t="s">
        <v>858</v>
      </c>
    </row>
    <row r="171" spans="1:5" x14ac:dyDescent="0.2">
      <c r="A171" s="324">
        <f>IF(Data!E240="","",Data!E240)</f>
        <v>47</v>
      </c>
      <c r="B171" s="1" t="str">
        <f>IF(A171="",C171,"")</f>
        <v/>
      </c>
      <c r="C171" s="17">
        <f t="shared" si="5"/>
        <v>170</v>
      </c>
      <c r="D171" s="4">
        <f>Data!C240</f>
        <v>104</v>
      </c>
      <c r="E171" s="324" t="s">
        <v>862</v>
      </c>
    </row>
    <row r="172" spans="1:5" x14ac:dyDescent="0.2">
      <c r="A172" s="324">
        <f>IF(Data!E240="","",Data!E240)</f>
        <v>47</v>
      </c>
      <c r="B172" s="1" t="str">
        <f>IF(NOT(OR(AND(ISNUMBER(A172),A172&gt;=0),A172="")),C172,"")</f>
        <v/>
      </c>
      <c r="C172" s="17">
        <f t="shared" si="5"/>
        <v>171</v>
      </c>
      <c r="D172" s="4">
        <f>Data!C240</f>
        <v>104</v>
      </c>
      <c r="E172" s="324" t="s">
        <v>858</v>
      </c>
    </row>
    <row r="173" spans="1:5" x14ac:dyDescent="0.2">
      <c r="A173" s="324">
        <f>IF(Data!E241="","",Data!E241)</f>
        <v>57</v>
      </c>
      <c r="B173" s="1" t="str">
        <f>IF(A173="",C173,"")</f>
        <v/>
      </c>
      <c r="C173" s="17">
        <f t="shared" si="5"/>
        <v>172</v>
      </c>
      <c r="D173" s="4">
        <f>Data!C241</f>
        <v>105</v>
      </c>
      <c r="E173" s="324" t="s">
        <v>862</v>
      </c>
    </row>
    <row r="174" spans="1:5" s="78" customFormat="1" ht="15" thickBot="1" x14ac:dyDescent="0.25">
      <c r="A174" s="78">
        <f>IF(Data!E241="","",Data!E241)</f>
        <v>57</v>
      </c>
      <c r="B174" s="1" t="str">
        <f>IF(NOT(OR(AND(ISNUMBER(A174),A174&gt;=0),A174="")),C174,"")</f>
        <v/>
      </c>
      <c r="C174" s="78">
        <f t="shared" si="5"/>
        <v>173</v>
      </c>
      <c r="D174" s="78">
        <f>Data!C241</f>
        <v>105</v>
      </c>
      <c r="E174" s="78" t="s">
        <v>858</v>
      </c>
    </row>
    <row r="175" spans="1:5" x14ac:dyDescent="0.2">
      <c r="A175" s="324" t="str">
        <f>IF(Data!E244="","",Data!E244)</f>
        <v/>
      </c>
      <c r="B175" s="1">
        <f>IF(A175="",C175,"")</f>
        <v>174</v>
      </c>
      <c r="C175" s="17">
        <f t="shared" si="5"/>
        <v>174</v>
      </c>
      <c r="D175" s="4">
        <f>Data!C244</f>
        <v>106</v>
      </c>
      <c r="E175" s="324" t="s">
        <v>859</v>
      </c>
    </row>
    <row r="176" spans="1:5" x14ac:dyDescent="0.2">
      <c r="A176" s="324" t="str">
        <f>IF(Data!E244="","",Data!E244)</f>
        <v/>
      </c>
      <c r="B176" s="1" t="str">
        <f>IF(NOT(OR(AND(ISNUMBER(A176),A176&gt;=0),A176="")),C176,"")</f>
        <v/>
      </c>
      <c r="C176" s="17">
        <f t="shared" si="5"/>
        <v>175</v>
      </c>
      <c r="D176" s="4">
        <f>Data!C244</f>
        <v>106</v>
      </c>
      <c r="E176" s="324" t="s">
        <v>858</v>
      </c>
    </row>
    <row r="177" spans="1:5" x14ac:dyDescent="0.2">
      <c r="A177" s="324" t="str">
        <f>IF(Data!E245="","",Data!E245)</f>
        <v/>
      </c>
      <c r="B177" s="1">
        <f>IF(A177="",C177,"")</f>
        <v>176</v>
      </c>
      <c r="C177" s="17">
        <f t="shared" si="5"/>
        <v>176</v>
      </c>
      <c r="D177" s="4">
        <f>Data!C245</f>
        <v>107</v>
      </c>
      <c r="E177" s="324" t="s">
        <v>859</v>
      </c>
    </row>
    <row r="178" spans="1:5" x14ac:dyDescent="0.2">
      <c r="A178" s="324" t="str">
        <f>IF(Data!E245="","",Data!E245)</f>
        <v/>
      </c>
      <c r="B178" s="1" t="str">
        <f>IF(NOT(OR(AND(ISNUMBER(A178),A178&gt;=0),A178="")),C178,"")</f>
        <v/>
      </c>
      <c r="C178" s="17">
        <f t="shared" si="5"/>
        <v>177</v>
      </c>
      <c r="D178" s="4">
        <f>Data!C245</f>
        <v>107</v>
      </c>
      <c r="E178" s="324" t="s">
        <v>858</v>
      </c>
    </row>
    <row r="179" spans="1:5" x14ac:dyDescent="0.2">
      <c r="A179" s="324" t="str">
        <f>IF(Data!E246="","",Data!E246)</f>
        <v/>
      </c>
      <c r="B179" s="1">
        <f>IF(A179="",C179,"")</f>
        <v>178</v>
      </c>
      <c r="C179" s="17">
        <f>C178+1</f>
        <v>178</v>
      </c>
      <c r="D179" s="4">
        <f>Data!C246</f>
        <v>108</v>
      </c>
      <c r="E179" s="324" t="s">
        <v>859</v>
      </c>
    </row>
    <row r="180" spans="1:5" x14ac:dyDescent="0.2">
      <c r="A180" s="324" t="str">
        <f>IF(Data!E246="","",Data!E246)</f>
        <v/>
      </c>
      <c r="B180" s="1" t="str">
        <f>IF(NOT(OR(AND(ISNUMBER(A180),A180&gt;=0),A180="")),C180,"")</f>
        <v/>
      </c>
      <c r="C180" s="17">
        <f t="shared" si="5"/>
        <v>179</v>
      </c>
      <c r="D180" s="4">
        <f>Data!C246</f>
        <v>108</v>
      </c>
      <c r="E180" s="324" t="s">
        <v>858</v>
      </c>
    </row>
    <row r="181" spans="1:5" x14ac:dyDescent="0.2">
      <c r="A181" s="324" t="str">
        <f>IF(Data!E247="","",Data!E247)</f>
        <v/>
      </c>
      <c r="B181" s="1">
        <f>IF(A181="",C181,"")</f>
        <v>180</v>
      </c>
      <c r="C181" s="17">
        <f t="shared" si="5"/>
        <v>180</v>
      </c>
      <c r="D181" s="4">
        <f>Data!C247</f>
        <v>109</v>
      </c>
      <c r="E181" s="324" t="s">
        <v>859</v>
      </c>
    </row>
    <row r="182" spans="1:5" x14ac:dyDescent="0.2">
      <c r="A182" s="324" t="str">
        <f>IF(Data!E247="","",Data!E247)</f>
        <v/>
      </c>
      <c r="B182" s="1" t="str">
        <f>IF(NOT(OR(AND(ISNUMBER(A182),A182&gt;=0),A182="")),C182,"")</f>
        <v/>
      </c>
      <c r="C182" s="17">
        <f t="shared" si="5"/>
        <v>181</v>
      </c>
      <c r="D182" s="4">
        <f>Data!C247</f>
        <v>109</v>
      </c>
      <c r="E182" s="324" t="s">
        <v>858</v>
      </c>
    </row>
    <row r="183" spans="1:5" x14ac:dyDescent="0.2">
      <c r="A183" s="324" t="str">
        <f>IF(Data!E248="","",Data!E248)</f>
        <v/>
      </c>
      <c r="B183" s="1">
        <f>IF(A183="",C183,"")</f>
        <v>182</v>
      </c>
      <c r="C183" s="17">
        <f t="shared" si="5"/>
        <v>182</v>
      </c>
      <c r="D183" s="4">
        <f>Data!C248</f>
        <v>110</v>
      </c>
      <c r="E183" s="324" t="s">
        <v>859</v>
      </c>
    </row>
    <row r="184" spans="1:5" s="78" customFormat="1" ht="15" thickBot="1" x14ac:dyDescent="0.25">
      <c r="A184" s="78" t="str">
        <f>IF(Data!E248="","",Data!E248)</f>
        <v/>
      </c>
      <c r="B184" s="1" t="str">
        <f>IF(NOT(OR(AND(ISNUMBER(A184),A184&gt;=0),A184="")),C184,"")</f>
        <v/>
      </c>
      <c r="C184" s="78">
        <f t="shared" si="5"/>
        <v>183</v>
      </c>
      <c r="D184" s="78">
        <f>Data!C248</f>
        <v>110</v>
      </c>
      <c r="E184" s="78" t="s">
        <v>858</v>
      </c>
    </row>
    <row r="185" spans="1:5" x14ac:dyDescent="0.2">
      <c r="A185" s="324">
        <f>IF(Data!E253="","",Data!E253)</f>
        <v>8</v>
      </c>
      <c r="B185" s="1" t="str">
        <f>IF(A185="",C185,"")</f>
        <v/>
      </c>
      <c r="C185" s="17">
        <f t="shared" si="5"/>
        <v>184</v>
      </c>
      <c r="D185" s="4">
        <f>Data!C253</f>
        <v>111</v>
      </c>
      <c r="E185" s="324" t="s">
        <v>859</v>
      </c>
    </row>
    <row r="186" spans="1:5" x14ac:dyDescent="0.2">
      <c r="A186" s="324">
        <f>IF(Data!E253="","",Data!E253)</f>
        <v>8</v>
      </c>
      <c r="B186" s="1" t="str">
        <f>IF(NOT(OR(AND(ISNUMBER(A186),A186&gt;=0),A186="")),C186,"")</f>
        <v/>
      </c>
      <c r="C186" s="17">
        <f t="shared" si="5"/>
        <v>185</v>
      </c>
      <c r="D186" s="4">
        <f>Data!C253</f>
        <v>111</v>
      </c>
      <c r="E186" s="324" t="s">
        <v>858</v>
      </c>
    </row>
    <row r="187" spans="1:5" x14ac:dyDescent="0.2">
      <c r="A187" s="327">
        <f>IF(Data!G266="","",Data!G266)</f>
        <v>3</v>
      </c>
      <c r="B187" s="367" t="str">
        <f>IF(AND(Data!G266&lt;&gt;2,Data!G271&lt;&gt;2,Data!G276&lt;&gt;2),C187,"")</f>
        <v/>
      </c>
      <c r="C187" s="17">
        <f t="shared" si="5"/>
        <v>186</v>
      </c>
      <c r="D187" s="73" t="s">
        <v>266</v>
      </c>
      <c r="E187" s="17" t="s">
        <v>238</v>
      </c>
    </row>
    <row r="188" spans="1:5" s="1" customFormat="1" x14ac:dyDescent="0.2">
      <c r="A188" s="327">
        <f>IF(Data!G266="","",Data!G266)</f>
        <v>3</v>
      </c>
      <c r="B188" s="367" t="str">
        <f>IF(OR(AND(Data!G266=2,Data!G271=2),AND(Data!G266=2,Data!G276=2),AND(Data!G271=2,Data!G276=2)),C188,"")</f>
        <v/>
      </c>
      <c r="C188" s="1">
        <f t="shared" si="5"/>
        <v>187</v>
      </c>
      <c r="D188" s="223" t="s">
        <v>266</v>
      </c>
      <c r="E188" s="1" t="s">
        <v>237</v>
      </c>
    </row>
    <row r="189" spans="1:5" s="1" customFormat="1" x14ac:dyDescent="0.2">
      <c r="A189" s="327">
        <f>IF(Data!G266="","",Data!G266)</f>
        <v>3</v>
      </c>
      <c r="B189" s="367" t="str">
        <f>IF(AND(Data!G266=2,COUNT(Data!E314:E316,Data!E318,Data!E323:E325,Data!E327,Data!E332:E334,Data!E336,Data!E341:E343,Data!E345)&gt;0),C189,"")</f>
        <v/>
      </c>
      <c r="C189" s="1">
        <f>C188+1</f>
        <v>188</v>
      </c>
      <c r="D189" s="224">
        <f>Data!C266</f>
        <v>112</v>
      </c>
      <c r="E189" s="1" t="s">
        <v>729</v>
      </c>
    </row>
    <row r="190" spans="1:5" s="1" customFormat="1" x14ac:dyDescent="0.2">
      <c r="A190" s="329">
        <f>IF(Data!G271="","",Data!G271)</f>
        <v>3</v>
      </c>
      <c r="B190" s="367" t="str">
        <f>IF(AND(Data!G271=2,COUNT(Data!E323:E325,Data!E327,Data!E332:E334,Data!E336,Data!E341:E343,Data!E345)&gt;0),C190,"")</f>
        <v/>
      </c>
      <c r="C190" s="1">
        <f t="shared" ref="C190:C193" si="6">C189+1</f>
        <v>189</v>
      </c>
      <c r="D190" s="1">
        <f>Data!C271</f>
        <v>113</v>
      </c>
      <c r="E190" s="1" t="s">
        <v>728</v>
      </c>
    </row>
    <row r="191" spans="1:5" s="1" customFormat="1" x14ac:dyDescent="0.2">
      <c r="A191" s="329">
        <f>IF(Data!G271="","",Data!G271)</f>
        <v>3</v>
      </c>
      <c r="B191" s="367" t="str">
        <f>IF(AND(COUNT(Data!E314,Data!E315,Data!E316,Data!E318)&lt;4,Data!G271=2),C191,"")</f>
        <v/>
      </c>
      <c r="C191" s="1">
        <f t="shared" si="6"/>
        <v>190</v>
      </c>
      <c r="D191" s="1">
        <f>Data!C271</f>
        <v>113</v>
      </c>
      <c r="E191" s="1" t="s">
        <v>882</v>
      </c>
    </row>
    <row r="192" spans="1:5" x14ac:dyDescent="0.2">
      <c r="A192" s="324">
        <f>IF(Data!E292="","",Data!E292)</f>
        <v>5</v>
      </c>
      <c r="B192" s="1" t="str">
        <f>IF(A192="",C192,"")</f>
        <v/>
      </c>
      <c r="C192" s="1">
        <f t="shared" si="6"/>
        <v>191</v>
      </c>
      <c r="D192" s="4">
        <f>Data!C292</f>
        <v>115</v>
      </c>
      <c r="E192" s="324" t="s">
        <v>859</v>
      </c>
    </row>
    <row r="193" spans="1:5" x14ac:dyDescent="0.2">
      <c r="A193" s="324">
        <f>IF(Data!E292="","",Data!E292)</f>
        <v>5</v>
      </c>
      <c r="B193" s="1" t="str">
        <f>IF(NOT(OR(AND(ISNUMBER(A193),A193&gt;=0),A193="")),C193,"")</f>
        <v/>
      </c>
      <c r="C193" s="1">
        <f t="shared" si="6"/>
        <v>192</v>
      </c>
      <c r="D193" s="4">
        <f>Data!C292</f>
        <v>115</v>
      </c>
      <c r="E193" s="324" t="s">
        <v>858</v>
      </c>
    </row>
    <row r="194" spans="1:5" x14ac:dyDescent="0.2">
      <c r="A194" s="324">
        <f>IF(Data!E293="","",Data!E293)</f>
        <v>65</v>
      </c>
      <c r="B194" s="1" t="str">
        <f>IF(A194="",C194,"")</f>
        <v/>
      </c>
      <c r="C194" s="17">
        <f t="shared" si="5"/>
        <v>193</v>
      </c>
      <c r="D194" s="4">
        <f>Data!C293</f>
        <v>116</v>
      </c>
      <c r="E194" s="324" t="s">
        <v>859</v>
      </c>
    </row>
    <row r="195" spans="1:5" x14ac:dyDescent="0.2">
      <c r="A195" s="324">
        <f>IF(Data!E293="","",Data!E293)</f>
        <v>65</v>
      </c>
      <c r="B195" s="1" t="str">
        <f>IF(NOT(OR(AND(ISNUMBER(A195),A195&gt;=0),A195="")),C195,"")</f>
        <v/>
      </c>
      <c r="C195" s="17">
        <f t="shared" si="5"/>
        <v>194</v>
      </c>
      <c r="D195" s="4">
        <f>Data!C293</f>
        <v>116</v>
      </c>
      <c r="E195" s="324" t="s">
        <v>858</v>
      </c>
    </row>
    <row r="196" spans="1:5" x14ac:dyDescent="0.2">
      <c r="A196" s="324">
        <f>IF(Data!E295="","",Data!E295)</f>
        <v>300</v>
      </c>
      <c r="B196" s="1" t="str">
        <f>IF(A196="",C196,"")</f>
        <v/>
      </c>
      <c r="C196" s="17">
        <f t="shared" si="5"/>
        <v>195</v>
      </c>
      <c r="D196" s="4">
        <f>Data!C295</f>
        <v>117</v>
      </c>
      <c r="E196" s="324" t="s">
        <v>859</v>
      </c>
    </row>
    <row r="197" spans="1:5" x14ac:dyDescent="0.2">
      <c r="A197" s="324">
        <f>IF(Data!E295="","",Data!E295)</f>
        <v>300</v>
      </c>
      <c r="B197" s="1" t="str">
        <f>IF(NOT(OR(AND(ISNUMBER(A197),A197&gt;=0),A197="")),C197,"")</f>
        <v/>
      </c>
      <c r="C197" s="17">
        <f t="shared" si="5"/>
        <v>196</v>
      </c>
      <c r="D197" s="4">
        <f>Data!C295</f>
        <v>117</v>
      </c>
      <c r="E197" s="324" t="s">
        <v>858</v>
      </c>
    </row>
    <row r="198" spans="1:5" x14ac:dyDescent="0.2">
      <c r="A198" s="324">
        <f>IF(Data!E296="","",Data!E296)</f>
        <v>325</v>
      </c>
      <c r="B198" s="1" t="str">
        <f>IF(A198="",C198,"")</f>
        <v/>
      </c>
      <c r="C198" s="17">
        <f>C197+1</f>
        <v>197</v>
      </c>
      <c r="D198" s="4">
        <f>Data!C296</f>
        <v>118</v>
      </c>
      <c r="E198" s="324" t="s">
        <v>859</v>
      </c>
    </row>
    <row r="199" spans="1:5" x14ac:dyDescent="0.2">
      <c r="A199" s="324">
        <f>IF(Data!E296="","",Data!E296)</f>
        <v>325</v>
      </c>
      <c r="B199" s="1" t="str">
        <f>IF(NOT(OR(AND(ISNUMBER(A199),A199&gt;=0),A199="")),C199,"")</f>
        <v/>
      </c>
      <c r="C199" s="17">
        <f t="shared" si="5"/>
        <v>198</v>
      </c>
      <c r="D199" s="4">
        <f>Data!C296</f>
        <v>118</v>
      </c>
      <c r="E199" s="324" t="s">
        <v>858</v>
      </c>
    </row>
    <row r="200" spans="1:5" x14ac:dyDescent="0.2">
      <c r="A200" s="324">
        <f>IF(Data!E297="","",Data!E297)</f>
        <v>330</v>
      </c>
      <c r="B200" s="1" t="str">
        <f>IF(A200="",C200,"")</f>
        <v/>
      </c>
      <c r="C200" s="17">
        <f>C199+1</f>
        <v>199</v>
      </c>
      <c r="D200" s="4">
        <f>Data!C297</f>
        <v>119</v>
      </c>
      <c r="E200" s="324" t="s">
        <v>859</v>
      </c>
    </row>
    <row r="201" spans="1:5" x14ac:dyDescent="0.2">
      <c r="A201" s="324">
        <f>IF(Data!E297="","",Data!E297)</f>
        <v>330</v>
      </c>
      <c r="B201" s="1" t="str">
        <f>IF(NOT(OR(AND(ISNUMBER(A201),A201&gt;=0),A201="")),C201,"")</f>
        <v/>
      </c>
      <c r="C201" s="17">
        <f t="shared" si="5"/>
        <v>200</v>
      </c>
      <c r="D201" s="4">
        <f>Data!C297</f>
        <v>119</v>
      </c>
      <c r="E201" s="324" t="s">
        <v>858</v>
      </c>
    </row>
    <row r="202" spans="1:5" x14ac:dyDescent="0.2">
      <c r="A202" s="324">
        <f>IF(Data!E298="","",Data!E298)</f>
        <v>305</v>
      </c>
      <c r="B202" s="1" t="str">
        <f>IF(A202="",C202,"")</f>
        <v/>
      </c>
      <c r="C202" s="17">
        <f>C201+1</f>
        <v>201</v>
      </c>
      <c r="D202" s="4">
        <f>Data!C298</f>
        <v>120</v>
      </c>
      <c r="E202" s="324" t="s">
        <v>859</v>
      </c>
    </row>
    <row r="203" spans="1:5" x14ac:dyDescent="0.2">
      <c r="A203" s="324">
        <f>IF(Data!E298="","",Data!E298)</f>
        <v>305</v>
      </c>
      <c r="B203" s="1" t="str">
        <f>IF(NOT(OR(AND(ISNUMBER(A203),A203&gt;=0),A203="")),C203,"")</f>
        <v/>
      </c>
      <c r="C203" s="17">
        <f t="shared" si="5"/>
        <v>202</v>
      </c>
      <c r="D203" s="4">
        <f>Data!C298</f>
        <v>120</v>
      </c>
      <c r="E203" s="324" t="s">
        <v>858</v>
      </c>
    </row>
    <row r="204" spans="1:5" x14ac:dyDescent="0.2">
      <c r="A204" s="324">
        <f>IF(Data!E299="","",Data!E299)</f>
        <v>325</v>
      </c>
      <c r="B204" s="1" t="str">
        <f>IF(A204="",C204,"")</f>
        <v/>
      </c>
      <c r="C204" s="17">
        <f>C203+1</f>
        <v>203</v>
      </c>
      <c r="D204" s="4">
        <f>Data!C299</f>
        <v>121</v>
      </c>
      <c r="E204" s="324" t="s">
        <v>859</v>
      </c>
    </row>
    <row r="205" spans="1:5" x14ac:dyDescent="0.2">
      <c r="A205" s="324">
        <f>IF(Data!E299="","",Data!E299)</f>
        <v>325</v>
      </c>
      <c r="B205" s="1" t="str">
        <f>IF(NOT(OR(AND(ISNUMBER(A205),A205&gt;=0),A205="")),C205,"")</f>
        <v/>
      </c>
      <c r="C205" s="17">
        <f t="shared" si="5"/>
        <v>204</v>
      </c>
      <c r="D205" s="4">
        <f>Data!C299</f>
        <v>121</v>
      </c>
      <c r="E205" s="324" t="s">
        <v>858</v>
      </c>
    </row>
    <row r="206" spans="1:5" x14ac:dyDescent="0.2">
      <c r="A206" s="324">
        <f>IF(Data!E300="","",Data!E300)</f>
        <v>335</v>
      </c>
      <c r="B206" s="1" t="str">
        <f>IF(A206="",C206,"")</f>
        <v/>
      </c>
      <c r="C206" s="17">
        <f>C205+1</f>
        <v>205</v>
      </c>
      <c r="D206" s="4">
        <f>Data!C300</f>
        <v>122</v>
      </c>
      <c r="E206" s="324" t="s">
        <v>859</v>
      </c>
    </row>
    <row r="207" spans="1:5" x14ac:dyDescent="0.2">
      <c r="A207" s="324">
        <f>IF(Data!E300="","",Data!E300)</f>
        <v>335</v>
      </c>
      <c r="B207" s="1" t="str">
        <f>IF(NOT(OR(AND(ISNUMBER(A207),A207&gt;=0),A207="")),C207,"")</f>
        <v/>
      </c>
      <c r="C207" s="17">
        <f t="shared" ref="C207:C269" si="7">C206+1</f>
        <v>206</v>
      </c>
      <c r="D207" s="4">
        <f>Data!C300</f>
        <v>122</v>
      </c>
      <c r="E207" s="324" t="s">
        <v>858</v>
      </c>
    </row>
    <row r="208" spans="1:5" x14ac:dyDescent="0.2">
      <c r="A208" s="324">
        <f>IF(Data!E301="","",Data!E301)</f>
        <v>295</v>
      </c>
      <c r="B208" s="1" t="str">
        <f>IF(A208="",C208,"")</f>
        <v/>
      </c>
      <c r="C208" s="17">
        <f>C207+1</f>
        <v>207</v>
      </c>
      <c r="D208" s="4">
        <f>Data!C301</f>
        <v>123</v>
      </c>
      <c r="E208" s="324" t="s">
        <v>859</v>
      </c>
    </row>
    <row r="209" spans="1:5" x14ac:dyDescent="0.2">
      <c r="A209" s="324">
        <f>IF(Data!E301="","",Data!E301)</f>
        <v>295</v>
      </c>
      <c r="B209" s="1" t="str">
        <f>IF(NOT(OR(AND(ISNUMBER(A209),A209&gt;=0),A209="")),C209,"")</f>
        <v/>
      </c>
      <c r="C209" s="17">
        <f t="shared" si="7"/>
        <v>208</v>
      </c>
      <c r="D209" s="4">
        <f>Data!C301</f>
        <v>123</v>
      </c>
      <c r="E209" s="324" t="s">
        <v>858</v>
      </c>
    </row>
    <row r="210" spans="1:5" x14ac:dyDescent="0.2">
      <c r="A210" s="324">
        <f>IF(Data!E302="","",Data!E302)</f>
        <v>350</v>
      </c>
      <c r="B210" s="1" t="str">
        <f>IF(A210="",C210,"")</f>
        <v/>
      </c>
      <c r="C210" s="17">
        <f>C209+1</f>
        <v>209</v>
      </c>
      <c r="D210" s="4">
        <f>Data!C302</f>
        <v>124</v>
      </c>
      <c r="E210" s="324" t="s">
        <v>859</v>
      </c>
    </row>
    <row r="211" spans="1:5" x14ac:dyDescent="0.2">
      <c r="A211" s="324">
        <f>IF(Data!E302="","",Data!E302)</f>
        <v>350</v>
      </c>
      <c r="B211" s="1" t="str">
        <f>IF(NOT(OR(AND(ISNUMBER(A211),A211&gt;=0),A211="")),C211,"")</f>
        <v/>
      </c>
      <c r="C211" s="17">
        <f t="shared" si="7"/>
        <v>210</v>
      </c>
      <c r="D211" s="4">
        <f>Data!C302</f>
        <v>124</v>
      </c>
      <c r="E211" s="324" t="s">
        <v>858</v>
      </c>
    </row>
    <row r="212" spans="1:5" x14ac:dyDescent="0.2">
      <c r="A212" s="324">
        <f>IF(Data!E303="","",Data!E303)</f>
        <v>335</v>
      </c>
      <c r="B212" s="1" t="str">
        <f>IF(A212="",C212,"")</f>
        <v/>
      </c>
      <c r="C212" s="17">
        <f>C211+1</f>
        <v>211</v>
      </c>
      <c r="D212" s="4">
        <f>Data!C303</f>
        <v>125</v>
      </c>
      <c r="E212" s="324" t="s">
        <v>859</v>
      </c>
    </row>
    <row r="213" spans="1:5" x14ac:dyDescent="0.2">
      <c r="A213" s="324">
        <f>IF(Data!E303="","",Data!E303)</f>
        <v>335</v>
      </c>
      <c r="B213" s="1" t="str">
        <f>IF(NOT(OR(AND(ISNUMBER(A213),A213&gt;=0),A213="")),C213,"")</f>
        <v/>
      </c>
      <c r="C213" s="17">
        <f t="shared" si="7"/>
        <v>212</v>
      </c>
      <c r="D213" s="4">
        <f>Data!C303</f>
        <v>125</v>
      </c>
      <c r="E213" s="324" t="s">
        <v>858</v>
      </c>
    </row>
    <row r="214" spans="1:5" x14ac:dyDescent="0.2">
      <c r="A214" s="324">
        <f>IF(Data!E304="","",Data!E304)</f>
        <v>325</v>
      </c>
      <c r="B214" s="1" t="str">
        <f>IF(A214="",C214,"")</f>
        <v/>
      </c>
      <c r="C214" s="17">
        <f>C213+1</f>
        <v>213</v>
      </c>
      <c r="D214" s="4">
        <f>Data!C304</f>
        <v>126</v>
      </c>
      <c r="E214" s="324" t="s">
        <v>859</v>
      </c>
    </row>
    <row r="215" spans="1:5" x14ac:dyDescent="0.2">
      <c r="A215" s="324">
        <f>IF(Data!E304="","",Data!E304)</f>
        <v>325</v>
      </c>
      <c r="B215" s="1" t="str">
        <f>IF(NOT(OR(AND(ISNUMBER(A215),A215&gt;=0),A215="")),C215,"")</f>
        <v/>
      </c>
      <c r="C215" s="17">
        <f t="shared" si="7"/>
        <v>214</v>
      </c>
      <c r="D215" s="4">
        <f>Data!C304</f>
        <v>126</v>
      </c>
      <c r="E215" s="324" t="s">
        <v>858</v>
      </c>
    </row>
    <row r="216" spans="1:5" x14ac:dyDescent="0.2">
      <c r="A216" s="324">
        <f>IF(Data!E305="","",Data!E305)</f>
        <v>315</v>
      </c>
      <c r="B216" s="1" t="str">
        <f>IF(A216="",C216,"")</f>
        <v/>
      </c>
      <c r="C216" s="17">
        <f>C215+1</f>
        <v>215</v>
      </c>
      <c r="D216" s="4">
        <f>Data!C305</f>
        <v>127</v>
      </c>
      <c r="E216" s="324" t="s">
        <v>859</v>
      </c>
    </row>
    <row r="217" spans="1:5" x14ac:dyDescent="0.2">
      <c r="A217" s="324">
        <f>IF(Data!E305="","",Data!E305)</f>
        <v>315</v>
      </c>
      <c r="B217" s="1" t="str">
        <f>IF(NOT(OR(AND(ISNUMBER(A217),A217&gt;=0),A217="")),C217,"")</f>
        <v/>
      </c>
      <c r="C217" s="17">
        <f t="shared" si="7"/>
        <v>216</v>
      </c>
      <c r="D217" s="4">
        <f>Data!C305</f>
        <v>127</v>
      </c>
      <c r="E217" s="324" t="s">
        <v>858</v>
      </c>
    </row>
    <row r="218" spans="1:5" x14ac:dyDescent="0.2">
      <c r="A218" s="324">
        <f>IF(Data!E306="","",Data!E306)</f>
        <v>300</v>
      </c>
      <c r="B218" s="1" t="str">
        <f>IF(A218="",C218,"")</f>
        <v/>
      </c>
      <c r="C218" s="17">
        <f>C217+1</f>
        <v>217</v>
      </c>
      <c r="D218" s="4">
        <f>Data!C306</f>
        <v>128</v>
      </c>
      <c r="E218" s="324" t="s">
        <v>859</v>
      </c>
    </row>
    <row r="219" spans="1:5" x14ac:dyDescent="0.2">
      <c r="A219" s="324">
        <f>IF(Data!E306="","",Data!E306)</f>
        <v>300</v>
      </c>
      <c r="B219" s="1" t="str">
        <f>IF(NOT(OR(AND(ISNUMBER(A219),A219&gt;=0),A219="")),C219,"")</f>
        <v/>
      </c>
      <c r="C219" s="17">
        <f t="shared" si="7"/>
        <v>218</v>
      </c>
      <c r="D219" s="4">
        <f>Data!C306</f>
        <v>128</v>
      </c>
      <c r="E219" s="324" t="s">
        <v>858</v>
      </c>
    </row>
    <row r="220" spans="1:5" x14ac:dyDescent="0.2">
      <c r="A220" s="324">
        <f>IF(Data!E307="","",Data!E307)</f>
        <v>315</v>
      </c>
      <c r="B220" s="1" t="str">
        <f>IF(A220="",C220,"")</f>
        <v/>
      </c>
      <c r="C220" s="17">
        <f>C219+1</f>
        <v>219</v>
      </c>
      <c r="D220" s="4">
        <f>Data!C307</f>
        <v>129</v>
      </c>
      <c r="E220" s="324" t="s">
        <v>859</v>
      </c>
    </row>
    <row r="221" spans="1:5" x14ac:dyDescent="0.2">
      <c r="A221" s="324">
        <f>IF(Data!E307="","",Data!E307)</f>
        <v>315</v>
      </c>
      <c r="B221" s="1" t="str">
        <f>IF(NOT(OR(AND(ISNUMBER(A221),A221&gt;=0),A221="")),C221,"")</f>
        <v/>
      </c>
      <c r="C221" s="17">
        <f t="shared" si="7"/>
        <v>220</v>
      </c>
      <c r="D221" s="4">
        <f>Data!C307</f>
        <v>129</v>
      </c>
      <c r="E221" s="324" t="s">
        <v>858</v>
      </c>
    </row>
    <row r="222" spans="1:5" x14ac:dyDescent="0.2">
      <c r="A222" s="324">
        <f>IF(Data!E308="","",Data!E308)</f>
        <v>400</v>
      </c>
      <c r="B222" s="1" t="str">
        <f>IF(A222="",C222,"")</f>
        <v/>
      </c>
      <c r="C222" s="17">
        <f>C221+1</f>
        <v>221</v>
      </c>
      <c r="D222" s="4">
        <f>Data!C308</f>
        <v>130</v>
      </c>
      <c r="E222" s="324" t="s">
        <v>859</v>
      </c>
    </row>
    <row r="223" spans="1:5" x14ac:dyDescent="0.2">
      <c r="A223" s="324">
        <f>IF(Data!E308="","",Data!E308)</f>
        <v>400</v>
      </c>
      <c r="B223" s="1" t="str">
        <f>IF(NOT(OR(AND(ISNUMBER(A223),A223&gt;=0),A223="")),C223,"")</f>
        <v/>
      </c>
      <c r="C223" s="17">
        <f t="shared" si="7"/>
        <v>222</v>
      </c>
      <c r="D223" s="4">
        <f>Data!C308</f>
        <v>130</v>
      </c>
      <c r="E223" s="324" t="s">
        <v>858</v>
      </c>
    </row>
    <row r="224" spans="1:5" x14ac:dyDescent="0.2">
      <c r="A224" s="324">
        <f>IF(Data!E309="","",Data!E309)</f>
        <v>310</v>
      </c>
      <c r="B224" s="1" t="str">
        <f>IF(A224="",C224,"")</f>
        <v/>
      </c>
      <c r="C224" s="17">
        <f>C223+1</f>
        <v>223</v>
      </c>
      <c r="D224" s="4">
        <f>Data!C309</f>
        <v>131</v>
      </c>
      <c r="E224" s="324" t="s">
        <v>859</v>
      </c>
    </row>
    <row r="225" spans="1:5" x14ac:dyDescent="0.2">
      <c r="A225" s="324">
        <f>IF(Data!E309="","",Data!E309)</f>
        <v>310</v>
      </c>
      <c r="B225" s="1" t="str">
        <f>IF(NOT(OR(AND(ISNUMBER(A225),A225&gt;=0),A225="")),C225,"")</f>
        <v/>
      </c>
      <c r="C225" s="17">
        <f t="shared" si="7"/>
        <v>224</v>
      </c>
      <c r="D225" s="4">
        <f>Data!C309</f>
        <v>131</v>
      </c>
      <c r="E225" s="324" t="s">
        <v>858</v>
      </c>
    </row>
    <row r="226" spans="1:5" x14ac:dyDescent="0.2">
      <c r="A226" s="324">
        <f>IF(Data!E310="","",Data!E310)</f>
        <v>300</v>
      </c>
      <c r="B226" s="1" t="str">
        <f>IF(A226="",C226,"")</f>
        <v/>
      </c>
      <c r="C226" s="17">
        <f>C225+1</f>
        <v>225</v>
      </c>
      <c r="D226" s="4">
        <f>Data!C310</f>
        <v>132</v>
      </c>
      <c r="E226" s="324" t="s">
        <v>859</v>
      </c>
    </row>
    <row r="227" spans="1:5" s="78" customFormat="1" ht="15" thickBot="1" x14ac:dyDescent="0.25">
      <c r="A227" s="78">
        <f>IF(Data!E310="","",Data!E310)</f>
        <v>300</v>
      </c>
      <c r="B227" s="1" t="str">
        <f>IF(NOT(OR(AND(ISNUMBER(A227),A227&gt;=0),A227="")),C227,"")</f>
        <v/>
      </c>
      <c r="C227" s="78">
        <f t="shared" si="7"/>
        <v>226</v>
      </c>
      <c r="D227" s="78">
        <f>Data!C310</f>
        <v>132</v>
      </c>
      <c r="E227" s="78" t="s">
        <v>858</v>
      </c>
    </row>
    <row r="228" spans="1:5" x14ac:dyDescent="0.2">
      <c r="A228" s="324">
        <f>IF(Data!E314="","",Data!E314)</f>
        <v>4</v>
      </c>
      <c r="B228" s="1" t="str">
        <f>IF(AND(A234="",OR(Data!$G$271=2,Data!$G$276=2)),C234,"")</f>
        <v/>
      </c>
      <c r="C228" s="17">
        <f>C227+1</f>
        <v>227</v>
      </c>
      <c r="D228" s="4">
        <f>Data!C314</f>
        <v>133</v>
      </c>
      <c r="E228" s="324" t="s">
        <v>859</v>
      </c>
    </row>
    <row r="229" spans="1:5" x14ac:dyDescent="0.2">
      <c r="A229" s="324">
        <f>IF(Data!E314="","",Data!E314)</f>
        <v>4</v>
      </c>
      <c r="B229" s="1" t="str">
        <f>IF(NOT(OR(AND(ISNUMBER(A229),A229&gt;=0),A229="")),C229,"")</f>
        <v/>
      </c>
      <c r="C229" s="17">
        <f t="shared" si="7"/>
        <v>228</v>
      </c>
      <c r="D229" s="4">
        <f>Data!C314</f>
        <v>133</v>
      </c>
      <c r="E229" s="324" t="s">
        <v>858</v>
      </c>
    </row>
    <row r="230" spans="1:5" x14ac:dyDescent="0.2">
      <c r="A230" s="324">
        <f>IF(Data!E315="","",Data!E315)</f>
        <v>15</v>
      </c>
      <c r="B230" s="1" t="str">
        <f>IF(AND(A234="",OR(Data!$G$271=2,Data!$G$276=2)),C234,"")</f>
        <v/>
      </c>
      <c r="C230" s="17">
        <f t="shared" si="7"/>
        <v>229</v>
      </c>
      <c r="D230" s="4">
        <f>Data!C315</f>
        <v>134</v>
      </c>
      <c r="E230" s="324" t="s">
        <v>859</v>
      </c>
    </row>
    <row r="231" spans="1:5" x14ac:dyDescent="0.2">
      <c r="A231" s="324">
        <f>IF(Data!E315="","",Data!E315)</f>
        <v>15</v>
      </c>
      <c r="B231" s="1" t="str">
        <f>IF(NOT(OR(AND(ISNUMBER(A231),A231&gt;=0),A231="")),C231,"")</f>
        <v/>
      </c>
      <c r="C231" s="17">
        <f t="shared" si="7"/>
        <v>230</v>
      </c>
      <c r="D231" s="4">
        <f>Data!C315</f>
        <v>134</v>
      </c>
      <c r="E231" s="324" t="s">
        <v>858</v>
      </c>
    </row>
    <row r="232" spans="1:5" x14ac:dyDescent="0.2">
      <c r="A232" s="324">
        <f>IF(Data!E316="","",Data!E316)</f>
        <v>4060</v>
      </c>
      <c r="B232" s="1" t="str">
        <f>IF(AND(A234="",OR(Data!$G$271=2,Data!$G$276=2)),C234,"")</f>
        <v/>
      </c>
      <c r="C232" s="17">
        <f t="shared" si="7"/>
        <v>231</v>
      </c>
      <c r="D232" s="4">
        <f>Data!C316</f>
        <v>135</v>
      </c>
      <c r="E232" s="324" t="s">
        <v>859</v>
      </c>
    </row>
    <row r="233" spans="1:5" x14ac:dyDescent="0.2">
      <c r="A233" s="324">
        <f>IF(Data!E316="","",Data!E316)</f>
        <v>4060</v>
      </c>
      <c r="B233" s="1" t="str">
        <f>IF(NOT(OR(AND(ISNUMBER(A233),A233&gt;=0),A233="")),C233,"")</f>
        <v/>
      </c>
      <c r="C233" s="17">
        <f t="shared" si="7"/>
        <v>232</v>
      </c>
      <c r="D233" s="4">
        <f>Data!C316</f>
        <v>135</v>
      </c>
      <c r="E233" s="324" t="s">
        <v>858</v>
      </c>
    </row>
    <row r="234" spans="1:5" x14ac:dyDescent="0.2">
      <c r="A234" s="324">
        <f>IF(Data!E318="","",Data!E318)</f>
        <v>16</v>
      </c>
      <c r="B234" s="1" t="str">
        <f>IF(AND(A234="",OR(Data!$G$271=2,Data!$G$276=2)),C234,"")</f>
        <v/>
      </c>
      <c r="C234" s="17">
        <f>C233+1</f>
        <v>233</v>
      </c>
      <c r="D234" s="4">
        <f>Data!C318</f>
        <v>136</v>
      </c>
      <c r="E234" s="324" t="s">
        <v>859</v>
      </c>
    </row>
    <row r="235" spans="1:5" s="78" customFormat="1" ht="15" thickBot="1" x14ac:dyDescent="0.25">
      <c r="A235" s="78">
        <f>IF(Data!E318="","",Data!E318)</f>
        <v>16</v>
      </c>
      <c r="B235" s="1" t="str">
        <f>IF(NOT(OR(AND(ISNUMBER(A235),A235&gt;=0),A235="")),C235,"")</f>
        <v/>
      </c>
      <c r="C235" s="78">
        <f t="shared" si="7"/>
        <v>234</v>
      </c>
      <c r="D235" s="78">
        <f>Data!C318</f>
        <v>136</v>
      </c>
      <c r="E235" s="78" t="s">
        <v>858</v>
      </c>
    </row>
    <row r="236" spans="1:5" x14ac:dyDescent="0.2">
      <c r="A236" s="324">
        <f>IF(Data!E323="","",Data!E323)</f>
        <v>4</v>
      </c>
      <c r="B236" s="1" t="str">
        <f>IF(AND(A252="",Data!$G$276=2),C2581,"")</f>
        <v/>
      </c>
      <c r="C236" s="17">
        <f t="shared" si="7"/>
        <v>235</v>
      </c>
      <c r="D236" s="4">
        <f>Data!C323</f>
        <v>137</v>
      </c>
      <c r="E236" s="324" t="s">
        <v>859</v>
      </c>
    </row>
    <row r="237" spans="1:5" x14ac:dyDescent="0.2">
      <c r="A237" s="324">
        <f>IF(Data!E323="","",Data!E323)</f>
        <v>4</v>
      </c>
      <c r="B237" s="1" t="str">
        <f>IF(NOT(OR(AND(ISNUMBER(A237),A237&gt;=0),A237="")),C237,"")</f>
        <v/>
      </c>
      <c r="C237" s="17">
        <f t="shared" si="7"/>
        <v>236</v>
      </c>
      <c r="D237" s="4">
        <f>Data!C323</f>
        <v>137</v>
      </c>
      <c r="E237" s="324" t="s">
        <v>858</v>
      </c>
    </row>
    <row r="238" spans="1:5" x14ac:dyDescent="0.2">
      <c r="A238" s="324">
        <f>IF(Data!E324="","",Data!E324)</f>
        <v>31</v>
      </c>
      <c r="B238" s="1" t="str">
        <f>IF(AND(A252="",Data!$G$276=2),C2581,"")</f>
        <v/>
      </c>
      <c r="C238" s="17">
        <f t="shared" si="7"/>
        <v>237</v>
      </c>
      <c r="D238" s="4">
        <f>Data!C324</f>
        <v>138</v>
      </c>
      <c r="E238" s="324" t="s">
        <v>859</v>
      </c>
    </row>
    <row r="239" spans="1:5" x14ac:dyDescent="0.2">
      <c r="A239" s="324">
        <f>IF(Data!E324="","",Data!E324)</f>
        <v>31</v>
      </c>
      <c r="B239" s="1" t="str">
        <f>IF(NOT(OR(AND(ISNUMBER(A239),A239&gt;=0),A239="")),C239,"")</f>
        <v/>
      </c>
      <c r="C239" s="17">
        <f t="shared" si="7"/>
        <v>238</v>
      </c>
      <c r="D239" s="4">
        <f>Data!C324</f>
        <v>138</v>
      </c>
      <c r="E239" s="324" t="s">
        <v>858</v>
      </c>
    </row>
    <row r="240" spans="1:5" x14ac:dyDescent="0.2">
      <c r="A240" s="324">
        <f>IF(Data!E325="","",Data!E325)</f>
        <v>3750</v>
      </c>
      <c r="B240" s="1" t="str">
        <f>IF(AND(A252="",Data!$G$276=2),C2581,"")</f>
        <v/>
      </c>
      <c r="C240" s="17">
        <f t="shared" si="7"/>
        <v>239</v>
      </c>
      <c r="D240" s="4">
        <f>Data!C325</f>
        <v>139</v>
      </c>
      <c r="E240" s="324" t="s">
        <v>859</v>
      </c>
    </row>
    <row r="241" spans="1:5" x14ac:dyDescent="0.2">
      <c r="A241" s="324">
        <f>IF(Data!E325="","",Data!E325)</f>
        <v>3750</v>
      </c>
      <c r="B241" s="1" t="str">
        <f>IF(NOT(OR(AND(ISNUMBER(A241),A241&gt;=0),A241="")),C241,"")</f>
        <v/>
      </c>
      <c r="C241" s="17">
        <f t="shared" si="7"/>
        <v>240</v>
      </c>
      <c r="D241" s="4">
        <f>Data!C325</f>
        <v>139</v>
      </c>
      <c r="E241" s="324" t="s">
        <v>858</v>
      </c>
    </row>
    <row r="242" spans="1:5" x14ac:dyDescent="0.2">
      <c r="A242" s="324">
        <f>IF(Data!E327="","",Data!E327)</f>
        <v>15</v>
      </c>
      <c r="B242" s="1" t="str">
        <f>IF(AND(A252="",Data!$G$276=2),C2581,"")</f>
        <v/>
      </c>
      <c r="C242" s="17">
        <f>C241+1</f>
        <v>241</v>
      </c>
      <c r="D242" s="4">
        <f>Data!C327</f>
        <v>140</v>
      </c>
      <c r="E242" s="324" t="s">
        <v>859</v>
      </c>
    </row>
    <row r="243" spans="1:5" s="78" customFormat="1" ht="15" thickBot="1" x14ac:dyDescent="0.25">
      <c r="A243" s="78">
        <f>IF(Data!E327="","",Data!E327)</f>
        <v>15</v>
      </c>
      <c r="B243" s="1" t="str">
        <f>IF(NOT(OR(AND(ISNUMBER(A243),A243&gt;=0),A243="")),C243,"")</f>
        <v/>
      </c>
      <c r="C243" s="78">
        <f t="shared" si="7"/>
        <v>242</v>
      </c>
      <c r="D243" s="78">
        <f>Data!C327</f>
        <v>140</v>
      </c>
      <c r="E243" s="78" t="s">
        <v>858</v>
      </c>
    </row>
    <row r="244" spans="1:5" x14ac:dyDescent="0.2">
      <c r="A244" s="324">
        <f>IF(Data!E332="","",Data!E332)</f>
        <v>3</v>
      </c>
      <c r="B244" s="1" t="str">
        <f>IF(AND(A252="",Data!$G$276=2),C2581,"")</f>
        <v/>
      </c>
      <c r="C244" s="17">
        <f t="shared" si="7"/>
        <v>243</v>
      </c>
      <c r="D244" s="4">
        <f>Data!C332</f>
        <v>141</v>
      </c>
      <c r="E244" s="324" t="s">
        <v>859</v>
      </c>
    </row>
    <row r="245" spans="1:5" x14ac:dyDescent="0.2">
      <c r="A245" s="324">
        <f>IF(Data!E332="","",Data!E332)</f>
        <v>3</v>
      </c>
      <c r="B245" s="1" t="str">
        <f>IF(NOT(OR(AND(ISNUMBER(A245),A245&gt;=0),A245="")),C245,"")</f>
        <v/>
      </c>
      <c r="C245" s="17">
        <f t="shared" si="7"/>
        <v>244</v>
      </c>
      <c r="D245" s="4">
        <f>Data!C332</f>
        <v>141</v>
      </c>
      <c r="E245" s="324" t="s">
        <v>858</v>
      </c>
    </row>
    <row r="246" spans="1:5" x14ac:dyDescent="0.2">
      <c r="A246" s="324">
        <f>IF(Data!E333="","",Data!E333)</f>
        <v>46</v>
      </c>
      <c r="B246" s="1" t="str">
        <f>IF(AND(A252="",Data!$G$276=2),C2581,"")</f>
        <v/>
      </c>
      <c r="C246" s="17">
        <f t="shared" si="7"/>
        <v>245</v>
      </c>
      <c r="D246" s="4">
        <f>Data!C333</f>
        <v>142</v>
      </c>
      <c r="E246" s="324" t="s">
        <v>859</v>
      </c>
    </row>
    <row r="247" spans="1:5" x14ac:dyDescent="0.2">
      <c r="A247" s="324">
        <f>IF(Data!E333="","",Data!E333)</f>
        <v>46</v>
      </c>
      <c r="B247" s="1" t="str">
        <f>IF(NOT(OR(AND(ISNUMBER(A247),A247&gt;=0),A247="")),C247,"")</f>
        <v/>
      </c>
      <c r="C247" s="17">
        <f t="shared" si="7"/>
        <v>246</v>
      </c>
      <c r="D247" s="4">
        <f>Data!C333</f>
        <v>142</v>
      </c>
      <c r="E247" s="324" t="s">
        <v>858</v>
      </c>
    </row>
    <row r="248" spans="1:5" x14ac:dyDescent="0.2">
      <c r="A248" s="324">
        <f>IF(Data!E334="","",Data!E334)</f>
        <v>3070</v>
      </c>
      <c r="B248" s="1" t="str">
        <f>IF(AND(A252="",Data!$G$276=2),C2581,"")</f>
        <v/>
      </c>
      <c r="C248" s="17">
        <f t="shared" si="7"/>
        <v>247</v>
      </c>
      <c r="D248" s="4">
        <f>Data!C334</f>
        <v>143</v>
      </c>
      <c r="E248" s="324" t="s">
        <v>859</v>
      </c>
    </row>
    <row r="249" spans="1:5" x14ac:dyDescent="0.2">
      <c r="A249" s="324">
        <f>IF(Data!E334="","",Data!E334)</f>
        <v>3070</v>
      </c>
      <c r="B249" s="1" t="str">
        <f>IF(NOT(OR(AND(ISNUMBER(A249),A249&gt;=0),A249="")),C249,"")</f>
        <v/>
      </c>
      <c r="C249" s="17">
        <f t="shared" si="7"/>
        <v>248</v>
      </c>
      <c r="D249" s="4">
        <f>Data!C334</f>
        <v>143</v>
      </c>
      <c r="E249" s="324" t="s">
        <v>858</v>
      </c>
    </row>
    <row r="250" spans="1:5" x14ac:dyDescent="0.2">
      <c r="A250" s="324">
        <f>IF(Data!E336="","",Data!E336)</f>
        <v>16</v>
      </c>
      <c r="B250" s="1" t="str">
        <f>IF(AND(A252="",Data!$G$276=2),C2581,"")</f>
        <v/>
      </c>
      <c r="C250" s="17">
        <f>C249+1</f>
        <v>249</v>
      </c>
      <c r="D250" s="4">
        <f>Data!C336</f>
        <v>144</v>
      </c>
      <c r="E250" s="324" t="s">
        <v>859</v>
      </c>
    </row>
    <row r="251" spans="1:5" s="78" customFormat="1" ht="15" thickBot="1" x14ac:dyDescent="0.25">
      <c r="A251" s="78">
        <f>IF(Data!E336="","",Data!E336)</f>
        <v>16</v>
      </c>
      <c r="B251" s="1" t="str">
        <f>IF(NOT(OR(AND(ISNUMBER(A251),A251&gt;=0),A251="")),C251,"")</f>
        <v/>
      </c>
      <c r="C251" s="78">
        <f t="shared" si="7"/>
        <v>250</v>
      </c>
      <c r="D251" s="78">
        <f>Data!C336</f>
        <v>144</v>
      </c>
      <c r="E251" s="78" t="s">
        <v>858</v>
      </c>
    </row>
    <row r="252" spans="1:5" x14ac:dyDescent="0.2">
      <c r="A252" s="324">
        <f>IF(Data!E341="","",Data!E341)</f>
        <v>5</v>
      </c>
      <c r="B252" s="1" t="str">
        <f>IF(AND(A252="",Data!$G$276=2),C2581,"")</f>
        <v/>
      </c>
      <c r="C252" s="17">
        <f t="shared" si="7"/>
        <v>251</v>
      </c>
      <c r="D252" s="4">
        <f>Data!C341</f>
        <v>145</v>
      </c>
      <c r="E252" s="324" t="s">
        <v>859</v>
      </c>
    </row>
    <row r="253" spans="1:5" x14ac:dyDescent="0.2">
      <c r="A253" s="324">
        <f>IF(Data!E341="","",Data!E341)</f>
        <v>5</v>
      </c>
      <c r="B253" s="1" t="str">
        <f>IF(NOT(OR(AND(ISNUMBER(A253),A253&gt;=0),A253="")),C253,"")</f>
        <v/>
      </c>
      <c r="C253" s="17">
        <f t="shared" si="7"/>
        <v>252</v>
      </c>
      <c r="D253" s="4">
        <f>Data!C341</f>
        <v>145</v>
      </c>
      <c r="E253" s="324" t="s">
        <v>858</v>
      </c>
    </row>
    <row r="254" spans="1:5" x14ac:dyDescent="0.2">
      <c r="A254" s="324">
        <f>IF(Data!E342="","",Data!E342)</f>
        <v>54</v>
      </c>
      <c r="B254" s="1" t="str">
        <f>IF(AND(A254="",Data!$G$276=2),C2583,"")</f>
        <v/>
      </c>
      <c r="C254" s="17">
        <f t="shared" si="7"/>
        <v>253</v>
      </c>
      <c r="D254" s="4">
        <f>Data!C342</f>
        <v>146</v>
      </c>
      <c r="E254" s="324" t="s">
        <v>859</v>
      </c>
    </row>
    <row r="255" spans="1:5" x14ac:dyDescent="0.2">
      <c r="A255" s="324">
        <f>IF(Data!E342="","",Data!E342)</f>
        <v>54</v>
      </c>
      <c r="B255" s="1" t="str">
        <f>IF(NOT(OR(AND(ISNUMBER(A255),A255&gt;=0),A255="")),C255,"")</f>
        <v/>
      </c>
      <c r="C255" s="17">
        <f t="shared" si="7"/>
        <v>254</v>
      </c>
      <c r="D255" s="4">
        <f>Data!C342</f>
        <v>146</v>
      </c>
      <c r="E255" s="324" t="s">
        <v>858</v>
      </c>
    </row>
    <row r="256" spans="1:5" x14ac:dyDescent="0.2">
      <c r="A256" s="324">
        <f>IF(Data!E343="","",Data!E343)</f>
        <v>5150</v>
      </c>
      <c r="B256" s="1" t="str">
        <f>IF(AND(A256="",Data!$G$276=2),C2585,"")</f>
        <v/>
      </c>
      <c r="C256" s="17">
        <f t="shared" si="7"/>
        <v>255</v>
      </c>
      <c r="D256" s="4">
        <f>Data!C343</f>
        <v>147</v>
      </c>
      <c r="E256" s="324" t="s">
        <v>859</v>
      </c>
    </row>
    <row r="257" spans="1:5" x14ac:dyDescent="0.2">
      <c r="A257" s="324">
        <f>IF(Data!E343="","",Data!E343)</f>
        <v>5150</v>
      </c>
      <c r="B257" s="1" t="str">
        <f>IF(NOT(OR(AND(ISNUMBER(A257),A257&gt;=0),A257="")),C257,"")</f>
        <v/>
      </c>
      <c r="C257" s="17">
        <f t="shared" si="7"/>
        <v>256</v>
      </c>
      <c r="D257" s="4">
        <f>Data!C343</f>
        <v>147</v>
      </c>
      <c r="E257" s="324" t="s">
        <v>858</v>
      </c>
    </row>
    <row r="258" spans="1:5" x14ac:dyDescent="0.2">
      <c r="A258" s="324">
        <f>IF(Data!E345="","",Data!E345)</f>
        <v>16</v>
      </c>
      <c r="B258" s="1" t="str">
        <f>IF(AND(A258="",Data!$G$276=2),C2587,"")</f>
        <v/>
      </c>
      <c r="C258" s="17">
        <f>C257+1</f>
        <v>257</v>
      </c>
      <c r="D258" s="4">
        <f>Data!C345</f>
        <v>148</v>
      </c>
      <c r="E258" s="324" t="s">
        <v>859</v>
      </c>
    </row>
    <row r="259" spans="1:5" s="78" customFormat="1" ht="15" thickBot="1" x14ac:dyDescent="0.25">
      <c r="A259" s="78">
        <f>IF(Data!E345="","",Data!E345)</f>
        <v>16</v>
      </c>
      <c r="B259" s="1" t="str">
        <f>IF(NOT(OR(AND(ISNUMBER(A259),A259&gt;=0),A259="")),C259,"")</f>
        <v/>
      </c>
      <c r="C259" s="78">
        <f t="shared" si="7"/>
        <v>258</v>
      </c>
      <c r="D259" s="78">
        <f>Data!C345</f>
        <v>148</v>
      </c>
      <c r="E259" s="78" t="s">
        <v>858</v>
      </c>
    </row>
    <row r="260" spans="1:5" x14ac:dyDescent="0.2">
      <c r="A260" s="324">
        <f>IF(Data!E351="","",Data!E351)</f>
        <v>7</v>
      </c>
      <c r="B260" s="1" t="str">
        <f>IF(A260="",C260,"")</f>
        <v/>
      </c>
      <c r="C260" s="17">
        <f t="shared" si="7"/>
        <v>259</v>
      </c>
      <c r="D260" s="4">
        <f>Data!C351</f>
        <v>149</v>
      </c>
      <c r="E260" s="324" t="s">
        <v>859</v>
      </c>
    </row>
    <row r="261" spans="1:5" x14ac:dyDescent="0.2">
      <c r="A261" s="324">
        <f>IF(Data!E351="","",Data!E351)</f>
        <v>7</v>
      </c>
      <c r="B261" s="1" t="str">
        <f>IF(NOT(OR(AND(ISNUMBER(A261),A261&gt;=0),A261="")),C261,"")</f>
        <v/>
      </c>
      <c r="C261" s="17">
        <f t="shared" si="7"/>
        <v>260</v>
      </c>
      <c r="D261" s="4">
        <f>Data!C351</f>
        <v>149</v>
      </c>
      <c r="E261" s="324" t="s">
        <v>858</v>
      </c>
    </row>
    <row r="262" spans="1:5" x14ac:dyDescent="0.2">
      <c r="A262" s="324">
        <f>IF(Data!E352="","",Data!E352)</f>
        <v>36</v>
      </c>
      <c r="B262" s="1" t="str">
        <f>IF(A262="",C262,"")</f>
        <v/>
      </c>
      <c r="C262" s="17">
        <f t="shared" si="7"/>
        <v>261</v>
      </c>
      <c r="D262" s="4">
        <f>Data!C352</f>
        <v>150</v>
      </c>
      <c r="E262" s="324" t="s">
        <v>859</v>
      </c>
    </row>
    <row r="263" spans="1:5" x14ac:dyDescent="0.2">
      <c r="A263" s="324">
        <f>IF(Data!E352="","",Data!E352)</f>
        <v>36</v>
      </c>
      <c r="B263" s="1" t="str">
        <f>IF(NOT(OR(AND(ISNUMBER(A263),A263&gt;=0),A263="")),C263,"")</f>
        <v/>
      </c>
      <c r="C263" s="17">
        <f t="shared" si="7"/>
        <v>262</v>
      </c>
      <c r="D263" s="4">
        <f>Data!C352</f>
        <v>150</v>
      </c>
      <c r="E263" s="324" t="s">
        <v>858</v>
      </c>
    </row>
    <row r="264" spans="1:5" x14ac:dyDescent="0.2">
      <c r="A264" s="324">
        <f>IF(Data!E354="","",Data!E354)</f>
        <v>450</v>
      </c>
      <c r="B264" s="1" t="str">
        <f>IF(A264="",C264,"")</f>
        <v/>
      </c>
      <c r="C264" s="17">
        <f t="shared" si="7"/>
        <v>263</v>
      </c>
      <c r="D264" s="4">
        <f>Data!C354</f>
        <v>151</v>
      </c>
      <c r="E264" s="324" t="s">
        <v>859</v>
      </c>
    </row>
    <row r="265" spans="1:5" x14ac:dyDescent="0.2">
      <c r="A265" s="324">
        <f>IF(Data!E354="","",Data!E354)</f>
        <v>450</v>
      </c>
      <c r="B265" s="1" t="str">
        <f>IF(NOT(OR(AND(ISNUMBER(A265),A265&gt;=0),A265="")),C265,"")</f>
        <v/>
      </c>
      <c r="C265" s="17">
        <f t="shared" si="7"/>
        <v>264</v>
      </c>
      <c r="D265" s="4">
        <f>Data!C354</f>
        <v>151</v>
      </c>
      <c r="E265" s="324" t="s">
        <v>858</v>
      </c>
    </row>
    <row r="266" spans="1:5" x14ac:dyDescent="0.2">
      <c r="A266" s="324">
        <f>IF(Data!E355="","",Data!E355)</f>
        <v>480</v>
      </c>
      <c r="B266" s="1" t="str">
        <f>IF(A266="",C266,"")</f>
        <v/>
      </c>
      <c r="C266" s="17">
        <f>C265+1</f>
        <v>265</v>
      </c>
      <c r="D266" s="4">
        <f>Data!C355</f>
        <v>152</v>
      </c>
      <c r="E266" s="324" t="s">
        <v>859</v>
      </c>
    </row>
    <row r="267" spans="1:5" x14ac:dyDescent="0.2">
      <c r="A267" s="324">
        <f>IF(Data!E355="","",Data!E355)</f>
        <v>480</v>
      </c>
      <c r="B267" s="1" t="str">
        <f>IF(NOT(OR(AND(ISNUMBER(A267),A267&gt;=0),A267="")),C267,"")</f>
        <v/>
      </c>
      <c r="C267" s="17">
        <f t="shared" si="7"/>
        <v>266</v>
      </c>
      <c r="D267" s="4">
        <f>Data!C355</f>
        <v>152</v>
      </c>
      <c r="E267" s="324" t="s">
        <v>858</v>
      </c>
    </row>
    <row r="268" spans="1:5" x14ac:dyDescent="0.2">
      <c r="A268" s="324">
        <f>IF(Data!E356="","",Data!E356)</f>
        <v>470</v>
      </c>
      <c r="B268" s="1" t="str">
        <f>IF(A268="",C268,"")</f>
        <v/>
      </c>
      <c r="C268" s="17">
        <f>C267+1</f>
        <v>267</v>
      </c>
      <c r="D268" s="4">
        <f>Data!C356</f>
        <v>153</v>
      </c>
      <c r="E268" s="324" t="s">
        <v>859</v>
      </c>
    </row>
    <row r="269" spans="1:5" x14ac:dyDescent="0.2">
      <c r="A269" s="324">
        <f>IF(Data!E356="","",Data!E356)</f>
        <v>470</v>
      </c>
      <c r="B269" s="1" t="str">
        <f>IF(NOT(OR(AND(ISNUMBER(A269),A269&gt;=0),A269="")),C269,"")</f>
        <v/>
      </c>
      <c r="C269" s="17">
        <f t="shared" si="7"/>
        <v>268</v>
      </c>
      <c r="D269" s="4">
        <f>Data!C356</f>
        <v>153</v>
      </c>
      <c r="E269" s="324" t="s">
        <v>858</v>
      </c>
    </row>
    <row r="270" spans="1:5" x14ac:dyDescent="0.2">
      <c r="A270" s="324">
        <f>IF(Data!E357="","",Data!E357)</f>
        <v>520</v>
      </c>
      <c r="B270" s="1" t="str">
        <f>IF(A270="",C270,"")</f>
        <v/>
      </c>
      <c r="C270" s="17">
        <f>C269+1</f>
        <v>269</v>
      </c>
      <c r="D270" s="4">
        <f>Data!C357</f>
        <v>154</v>
      </c>
      <c r="E270" s="324" t="s">
        <v>859</v>
      </c>
    </row>
    <row r="271" spans="1:5" x14ac:dyDescent="0.2">
      <c r="A271" s="324">
        <f>IF(Data!E357="","",Data!E357)</f>
        <v>520</v>
      </c>
      <c r="B271" s="1" t="str">
        <f>IF(NOT(OR(AND(ISNUMBER(A271),A271&gt;=0),A271="")),C271,"")</f>
        <v/>
      </c>
      <c r="C271" s="17">
        <f t="shared" ref="C271:C333" si="8">C270+1</f>
        <v>270</v>
      </c>
      <c r="D271" s="4">
        <f>Data!C357</f>
        <v>154</v>
      </c>
      <c r="E271" s="324" t="s">
        <v>858</v>
      </c>
    </row>
    <row r="272" spans="1:5" x14ac:dyDescent="0.2">
      <c r="A272" s="324">
        <f>IF(Data!E358="","",Data!E358)</f>
        <v>450</v>
      </c>
      <c r="B272" s="1" t="str">
        <f>IF(A272="",C272,"")</f>
        <v/>
      </c>
      <c r="C272" s="17">
        <f>C271+1</f>
        <v>271</v>
      </c>
      <c r="D272" s="4">
        <f>Data!C358</f>
        <v>155</v>
      </c>
      <c r="E272" s="324" t="s">
        <v>859</v>
      </c>
    </row>
    <row r="273" spans="1:5" x14ac:dyDescent="0.2">
      <c r="A273" s="324">
        <f>IF(Data!E358="","",Data!E358)</f>
        <v>450</v>
      </c>
      <c r="B273" s="1" t="str">
        <f>IF(NOT(OR(AND(ISNUMBER(A273),A273&gt;=0),A273="")),C273,"")</f>
        <v/>
      </c>
      <c r="C273" s="17">
        <f t="shared" si="8"/>
        <v>272</v>
      </c>
      <c r="D273" s="4">
        <f>Data!C358</f>
        <v>155</v>
      </c>
      <c r="E273" s="324" t="s">
        <v>858</v>
      </c>
    </row>
    <row r="274" spans="1:5" x14ac:dyDescent="0.2">
      <c r="A274" s="324">
        <f>IF(Data!E359="","",Data!E359)</f>
        <v>490</v>
      </c>
      <c r="B274" s="1" t="str">
        <f>IF(A274="",C274,"")</f>
        <v/>
      </c>
      <c r="C274" s="17">
        <f>C273+1</f>
        <v>273</v>
      </c>
      <c r="D274" s="4">
        <f>Data!C359</f>
        <v>156</v>
      </c>
      <c r="E274" s="324" t="s">
        <v>859</v>
      </c>
    </row>
    <row r="275" spans="1:5" x14ac:dyDescent="0.2">
      <c r="A275" s="324">
        <f>IF(Data!E359="","",Data!E359)</f>
        <v>490</v>
      </c>
      <c r="B275" s="1" t="str">
        <f>IF(NOT(OR(AND(ISNUMBER(A275),A275&gt;=0),A275="")),C275,"")</f>
        <v/>
      </c>
      <c r="C275" s="17">
        <f t="shared" si="8"/>
        <v>274</v>
      </c>
      <c r="D275" s="4">
        <f>Data!C359</f>
        <v>156</v>
      </c>
      <c r="E275" s="324" t="s">
        <v>858</v>
      </c>
    </row>
    <row r="276" spans="1:5" x14ac:dyDescent="0.2">
      <c r="A276" s="324">
        <f>IF(Data!E360="","",Data!E360)</f>
        <v>500</v>
      </c>
      <c r="B276" s="1" t="str">
        <f>IF(A276="",C276,"")</f>
        <v/>
      </c>
      <c r="C276" s="17">
        <f>C275+1</f>
        <v>275</v>
      </c>
      <c r="D276" s="4">
        <f>Data!C360</f>
        <v>157</v>
      </c>
      <c r="E276" s="324" t="s">
        <v>859</v>
      </c>
    </row>
    <row r="277" spans="1:5" x14ac:dyDescent="0.2">
      <c r="A277" s="324">
        <f>IF(Data!E360="","",Data!E360)</f>
        <v>500</v>
      </c>
      <c r="B277" s="1" t="str">
        <f>IF(NOT(OR(AND(ISNUMBER(A277),A277&gt;=0),A277="")),C277,"")</f>
        <v/>
      </c>
      <c r="C277" s="17">
        <f t="shared" si="8"/>
        <v>276</v>
      </c>
      <c r="D277" s="4">
        <f>Data!C360</f>
        <v>157</v>
      </c>
      <c r="E277" s="324" t="s">
        <v>858</v>
      </c>
    </row>
    <row r="278" spans="1:5" x14ac:dyDescent="0.2">
      <c r="A278" s="324">
        <f>IF(Data!E361="","",Data!E361)</f>
        <v>480</v>
      </c>
      <c r="B278" s="1" t="str">
        <f>IF(A278="",C278,"")</f>
        <v/>
      </c>
      <c r="C278" s="17">
        <f>C277+1</f>
        <v>277</v>
      </c>
      <c r="D278" s="4">
        <f>Data!C361</f>
        <v>158</v>
      </c>
      <c r="E278" s="324" t="s">
        <v>859</v>
      </c>
    </row>
    <row r="279" spans="1:5" x14ac:dyDescent="0.2">
      <c r="A279" s="324">
        <f>IF(Data!E361="","",Data!E361)</f>
        <v>480</v>
      </c>
      <c r="B279" s="1" t="str">
        <f>IF(NOT(OR(AND(ISNUMBER(A279),A279&gt;=0),A279="")),C279,"")</f>
        <v/>
      </c>
      <c r="C279" s="17">
        <f t="shared" si="8"/>
        <v>278</v>
      </c>
      <c r="D279" s="4">
        <f>Data!C361</f>
        <v>158</v>
      </c>
      <c r="E279" s="324" t="s">
        <v>858</v>
      </c>
    </row>
    <row r="280" spans="1:5" x14ac:dyDescent="0.2">
      <c r="A280" s="324">
        <f>IF(Data!E362="","",Data!E362)</f>
        <v>500</v>
      </c>
      <c r="B280" s="1" t="str">
        <f>IF(A280="",C280,"")</f>
        <v/>
      </c>
      <c r="C280" s="17">
        <f>C279+1</f>
        <v>279</v>
      </c>
      <c r="D280" s="4">
        <f>Data!C362</f>
        <v>159</v>
      </c>
      <c r="E280" s="324" t="s">
        <v>859</v>
      </c>
    </row>
    <row r="281" spans="1:5" x14ac:dyDescent="0.2">
      <c r="A281" s="324">
        <f>IF(Data!E362="","",Data!E362)</f>
        <v>500</v>
      </c>
      <c r="B281" s="1" t="str">
        <f>IF(NOT(OR(AND(ISNUMBER(A281),A281&gt;=0),A281="")),C281,"")</f>
        <v/>
      </c>
      <c r="C281" s="17">
        <f t="shared" si="8"/>
        <v>280</v>
      </c>
      <c r="D281" s="4">
        <f>Data!C362</f>
        <v>159</v>
      </c>
      <c r="E281" s="324" t="s">
        <v>858</v>
      </c>
    </row>
    <row r="282" spans="1:5" x14ac:dyDescent="0.2">
      <c r="A282" s="324">
        <f>IF(Data!E363="","",Data!E363)</f>
        <v>460</v>
      </c>
      <c r="B282" s="1" t="str">
        <f>IF(A282="",C282,"")</f>
        <v/>
      </c>
      <c r="C282" s="17">
        <f>C281+1</f>
        <v>281</v>
      </c>
      <c r="D282" s="4">
        <f>Data!C363</f>
        <v>160</v>
      </c>
      <c r="E282" s="324" t="s">
        <v>859</v>
      </c>
    </row>
    <row r="283" spans="1:5" x14ac:dyDescent="0.2">
      <c r="A283" s="324">
        <f>IF(Data!E363="","",Data!E363)</f>
        <v>460</v>
      </c>
      <c r="B283" s="1" t="str">
        <f>IF(NOT(OR(AND(ISNUMBER(A283),A283&gt;=0),A283="")),C283,"")</f>
        <v/>
      </c>
      <c r="C283" s="17">
        <f t="shared" si="8"/>
        <v>282</v>
      </c>
      <c r="D283" s="4">
        <f>Data!C363</f>
        <v>160</v>
      </c>
      <c r="E283" s="324" t="s">
        <v>858</v>
      </c>
    </row>
    <row r="284" spans="1:5" x14ac:dyDescent="0.2">
      <c r="A284" s="324">
        <f>IF(Data!E364="","",Data!E364)</f>
        <v>420</v>
      </c>
      <c r="B284" s="1" t="str">
        <f>IF(A284="",C284,"")</f>
        <v/>
      </c>
      <c r="C284" s="17">
        <f>C283+1</f>
        <v>283</v>
      </c>
      <c r="D284" s="4">
        <f>Data!C364</f>
        <v>161</v>
      </c>
      <c r="E284" s="324" t="s">
        <v>859</v>
      </c>
    </row>
    <row r="285" spans="1:5" x14ac:dyDescent="0.2">
      <c r="A285" s="324">
        <f>IF(Data!E364="","",Data!E364)</f>
        <v>420</v>
      </c>
      <c r="B285" s="1" t="str">
        <f>IF(NOT(OR(AND(ISNUMBER(A285),A285&gt;=0),A285="")),C285,"")</f>
        <v/>
      </c>
      <c r="C285" s="17">
        <f t="shared" si="8"/>
        <v>284</v>
      </c>
      <c r="D285" s="4">
        <f>Data!C364</f>
        <v>161</v>
      </c>
      <c r="E285" s="324" t="s">
        <v>858</v>
      </c>
    </row>
    <row r="286" spans="1:5" x14ac:dyDescent="0.2">
      <c r="A286" s="324">
        <f>IF(Data!E365="","",Data!E365)</f>
        <v>480</v>
      </c>
      <c r="B286" s="1" t="str">
        <f>IF(A286="",C286,"")</f>
        <v/>
      </c>
      <c r="C286" s="17">
        <f>C285+1</f>
        <v>285</v>
      </c>
      <c r="D286" s="4">
        <f>Data!C365</f>
        <v>162</v>
      </c>
      <c r="E286" s="324" t="s">
        <v>859</v>
      </c>
    </row>
    <row r="287" spans="1:5" x14ac:dyDescent="0.2">
      <c r="A287" s="324">
        <f>IF(Data!E365="","",Data!E365)</f>
        <v>480</v>
      </c>
      <c r="B287" s="1" t="str">
        <f>IF(NOT(OR(AND(ISNUMBER(A287),A287&gt;=0),A287="")),C287,"")</f>
        <v/>
      </c>
      <c r="C287" s="17">
        <f t="shared" si="8"/>
        <v>286</v>
      </c>
      <c r="D287" s="4">
        <f>Data!C365</f>
        <v>162</v>
      </c>
      <c r="E287" s="324" t="s">
        <v>858</v>
      </c>
    </row>
    <row r="288" spans="1:5" x14ac:dyDescent="0.2">
      <c r="A288" s="324">
        <f>IF(Data!E366="","",Data!E366)</f>
        <v>460</v>
      </c>
      <c r="B288" s="1" t="str">
        <f>IF(A288="",C288,"")</f>
        <v/>
      </c>
      <c r="C288" s="17">
        <f>C287+1</f>
        <v>287</v>
      </c>
      <c r="D288" s="4">
        <f>Data!C366</f>
        <v>163</v>
      </c>
      <c r="E288" s="324" t="s">
        <v>859</v>
      </c>
    </row>
    <row r="289" spans="1:5" x14ac:dyDescent="0.2">
      <c r="A289" s="324">
        <f>IF(Data!E366="","",Data!E366)</f>
        <v>460</v>
      </c>
      <c r="B289" s="1" t="str">
        <f>IF(NOT(OR(AND(ISNUMBER(A289),A289&gt;=0),A289="")),C289,"")</f>
        <v/>
      </c>
      <c r="C289" s="17">
        <f t="shared" si="8"/>
        <v>288</v>
      </c>
      <c r="D289" s="4">
        <f>Data!C366</f>
        <v>163</v>
      </c>
      <c r="E289" s="324" t="s">
        <v>858</v>
      </c>
    </row>
    <row r="290" spans="1:5" x14ac:dyDescent="0.2">
      <c r="A290" s="324">
        <f>IF(Data!E367="","",Data!E367)</f>
        <v>480</v>
      </c>
      <c r="B290" s="1" t="str">
        <f>IF(A290="",C290,"")</f>
        <v/>
      </c>
      <c r="C290" s="17">
        <f>C289+1</f>
        <v>289</v>
      </c>
      <c r="D290" s="4">
        <f>Data!C367</f>
        <v>164</v>
      </c>
      <c r="E290" s="324" t="s">
        <v>859</v>
      </c>
    </row>
    <row r="291" spans="1:5" x14ac:dyDescent="0.2">
      <c r="A291" s="324">
        <f>IF(Data!E367="","",Data!E367)</f>
        <v>480</v>
      </c>
      <c r="B291" s="1" t="str">
        <f>IF(NOT(OR(AND(ISNUMBER(A291),A291&gt;=0),A291="")),C291,"")</f>
        <v/>
      </c>
      <c r="C291" s="17">
        <f t="shared" si="8"/>
        <v>290</v>
      </c>
      <c r="D291" s="4">
        <f>Data!C367</f>
        <v>164</v>
      </c>
      <c r="E291" s="324" t="s">
        <v>858</v>
      </c>
    </row>
    <row r="292" spans="1:5" x14ac:dyDescent="0.2">
      <c r="A292" s="324">
        <f>IF(Data!E368="","",Data!E368)</f>
        <v>480</v>
      </c>
      <c r="B292" s="1" t="str">
        <f>IF(A292="",C292,"")</f>
        <v/>
      </c>
      <c r="C292" s="17">
        <f>C291+1</f>
        <v>291</v>
      </c>
      <c r="D292" s="4">
        <f>Data!C368</f>
        <v>165</v>
      </c>
      <c r="E292" s="324" t="s">
        <v>859</v>
      </c>
    </row>
    <row r="293" spans="1:5" x14ac:dyDescent="0.2">
      <c r="A293" s="324">
        <f>IF(Data!E368="","",Data!E368)</f>
        <v>480</v>
      </c>
      <c r="B293" s="1" t="str">
        <f>IF(NOT(OR(AND(ISNUMBER(A293),A293&gt;=0),A293="")),C293,"")</f>
        <v/>
      </c>
      <c r="C293" s="17">
        <f t="shared" si="8"/>
        <v>292</v>
      </c>
      <c r="D293" s="4">
        <f>Data!C368</f>
        <v>165</v>
      </c>
      <c r="E293" s="324" t="s">
        <v>858</v>
      </c>
    </row>
    <row r="294" spans="1:5" x14ac:dyDescent="0.2">
      <c r="A294" s="324">
        <f>IF(Data!E369="","",Data!E369)</f>
        <v>480</v>
      </c>
      <c r="B294" s="1" t="str">
        <f>IF(A294="",C294,"")</f>
        <v/>
      </c>
      <c r="C294" s="17">
        <f>C293+1</f>
        <v>293</v>
      </c>
      <c r="D294" s="4">
        <f>Data!C369</f>
        <v>166</v>
      </c>
      <c r="E294" s="324" t="s">
        <v>859</v>
      </c>
    </row>
    <row r="295" spans="1:5" s="78" customFormat="1" ht="15" thickBot="1" x14ac:dyDescent="0.25">
      <c r="A295" s="78">
        <f>IF(Data!E369="","",Data!E369)</f>
        <v>480</v>
      </c>
      <c r="B295" s="1" t="str">
        <f>IF(NOT(OR(AND(ISNUMBER(A295),A295&gt;=0),A295="")),C295,"")</f>
        <v/>
      </c>
      <c r="C295" s="78">
        <f t="shared" si="8"/>
        <v>294</v>
      </c>
      <c r="D295" s="78">
        <f>Data!C369</f>
        <v>166</v>
      </c>
      <c r="E295" s="78" t="s">
        <v>858</v>
      </c>
    </row>
    <row r="296" spans="1:5" x14ac:dyDescent="0.2">
      <c r="A296" s="324">
        <f>IF(Data!E376="","",Data!E376)</f>
        <v>5</v>
      </c>
      <c r="B296" s="1" t="str">
        <f>IF(A296="",C296,"")</f>
        <v/>
      </c>
      <c r="C296" s="17">
        <f>C295+1</f>
        <v>295</v>
      </c>
      <c r="D296" s="4">
        <f>Data!C376</f>
        <v>167</v>
      </c>
      <c r="E296" s="324" t="s">
        <v>859</v>
      </c>
    </row>
    <row r="297" spans="1:5" x14ac:dyDescent="0.2">
      <c r="A297" s="324">
        <f>IF(Data!E376="","",Data!E376)</f>
        <v>5</v>
      </c>
      <c r="B297" s="1" t="str">
        <f>IF(NOT(OR(AND(ISNUMBER(A297),A297&gt;=0),A297="")),C297,"")</f>
        <v/>
      </c>
      <c r="C297" s="17">
        <f t="shared" si="8"/>
        <v>296</v>
      </c>
      <c r="D297" s="4">
        <f>Data!C376</f>
        <v>167</v>
      </c>
      <c r="E297" s="324" t="s">
        <v>858</v>
      </c>
    </row>
    <row r="298" spans="1:5" x14ac:dyDescent="0.2">
      <c r="A298" s="324">
        <f>IF(Data!E377="","",Data!E377)</f>
        <v>60</v>
      </c>
      <c r="B298" s="1" t="str">
        <f>IF(A298="",C298,"")</f>
        <v/>
      </c>
      <c r="C298" s="17">
        <f t="shared" si="8"/>
        <v>297</v>
      </c>
      <c r="D298" s="4">
        <f>Data!C377</f>
        <v>168</v>
      </c>
      <c r="E298" s="324" t="s">
        <v>859</v>
      </c>
    </row>
    <row r="299" spans="1:5" x14ac:dyDescent="0.2">
      <c r="A299" s="324">
        <f>IF(Data!E377="","",Data!E377)</f>
        <v>60</v>
      </c>
      <c r="B299" s="1" t="str">
        <f>IF(NOT(OR(AND(ISNUMBER(A299),A299&gt;=0),A299="")),C299,"")</f>
        <v/>
      </c>
      <c r="C299" s="17">
        <f t="shared" si="8"/>
        <v>298</v>
      </c>
      <c r="D299" s="4">
        <f>Data!C377</f>
        <v>168</v>
      </c>
      <c r="E299" s="324" t="s">
        <v>858</v>
      </c>
    </row>
    <row r="300" spans="1:5" x14ac:dyDescent="0.2">
      <c r="A300" s="324">
        <f>IF(Data!E379="","",Data!E379)</f>
        <v>305</v>
      </c>
      <c r="B300" s="1" t="str">
        <f>IF(A300="",C300,"")</f>
        <v/>
      </c>
      <c r="C300" s="17">
        <f t="shared" si="8"/>
        <v>299</v>
      </c>
      <c r="D300" s="4">
        <f>Data!C379</f>
        <v>169</v>
      </c>
      <c r="E300" s="324" t="s">
        <v>859</v>
      </c>
    </row>
    <row r="301" spans="1:5" x14ac:dyDescent="0.2">
      <c r="A301" s="324">
        <f>IF(Data!E379="","",Data!E379)</f>
        <v>305</v>
      </c>
      <c r="B301" s="1" t="str">
        <f>IF(NOT(OR(AND(ISNUMBER(A301),A301&gt;=0),A301="")),C301,"")</f>
        <v/>
      </c>
      <c r="C301" s="17">
        <f t="shared" si="8"/>
        <v>300</v>
      </c>
      <c r="D301" s="4">
        <f>Data!C379</f>
        <v>169</v>
      </c>
      <c r="E301" s="324" t="s">
        <v>858</v>
      </c>
    </row>
    <row r="302" spans="1:5" x14ac:dyDescent="0.2">
      <c r="A302" s="324">
        <f>IF(Data!E380="","",Data!E380)</f>
        <v>320</v>
      </c>
      <c r="B302" s="1" t="str">
        <f>IF(A302="",C302,"")</f>
        <v/>
      </c>
      <c r="C302" s="17">
        <f>C301+1</f>
        <v>301</v>
      </c>
      <c r="D302" s="4">
        <f>Data!C380</f>
        <v>170</v>
      </c>
      <c r="E302" s="324" t="s">
        <v>859</v>
      </c>
    </row>
    <row r="303" spans="1:5" x14ac:dyDescent="0.2">
      <c r="A303" s="324">
        <f>IF(Data!E380="","",Data!E380)</f>
        <v>320</v>
      </c>
      <c r="B303" s="1" t="str">
        <f>IF(NOT(OR(AND(ISNUMBER(A303),A303&gt;=0),A303="")),C303,"")</f>
        <v/>
      </c>
      <c r="C303" s="17">
        <f t="shared" si="8"/>
        <v>302</v>
      </c>
      <c r="D303" s="4">
        <f>Data!C380</f>
        <v>170</v>
      </c>
      <c r="E303" s="324" t="s">
        <v>858</v>
      </c>
    </row>
    <row r="304" spans="1:5" x14ac:dyDescent="0.2">
      <c r="A304" s="324">
        <f>IF(Data!E381="","",Data!E381)</f>
        <v>305</v>
      </c>
      <c r="B304" s="1" t="str">
        <f>IF(A304="",C304,"")</f>
        <v/>
      </c>
      <c r="C304" s="17">
        <f>C303+1</f>
        <v>303</v>
      </c>
      <c r="D304" s="4">
        <f>Data!C381</f>
        <v>171</v>
      </c>
      <c r="E304" s="324" t="s">
        <v>859</v>
      </c>
    </row>
    <row r="305" spans="1:5" x14ac:dyDescent="0.2">
      <c r="A305" s="324">
        <f>IF(Data!E381="","",Data!E381)</f>
        <v>305</v>
      </c>
      <c r="B305" s="1" t="str">
        <f>IF(NOT(OR(AND(ISNUMBER(A305),A305&gt;=0),A305="")),C305,"")</f>
        <v/>
      </c>
      <c r="C305" s="17">
        <f t="shared" si="8"/>
        <v>304</v>
      </c>
      <c r="D305" s="4">
        <f>Data!C381</f>
        <v>171</v>
      </c>
      <c r="E305" s="324" t="s">
        <v>858</v>
      </c>
    </row>
    <row r="306" spans="1:5" x14ac:dyDescent="0.2">
      <c r="A306" s="324">
        <f>IF(Data!E382="","",Data!E382)</f>
        <v>275</v>
      </c>
      <c r="B306" s="1" t="str">
        <f>IF(A306="",C306,"")</f>
        <v/>
      </c>
      <c r="C306" s="17">
        <f>C305+1</f>
        <v>305</v>
      </c>
      <c r="D306" s="4">
        <f>Data!C382</f>
        <v>172</v>
      </c>
      <c r="E306" s="324" t="s">
        <v>859</v>
      </c>
    </row>
    <row r="307" spans="1:5" x14ac:dyDescent="0.2">
      <c r="A307" s="324">
        <f>IF(Data!E382="","",Data!E382)</f>
        <v>275</v>
      </c>
      <c r="B307" s="1" t="str">
        <f>IF(NOT(OR(AND(ISNUMBER(A307),A307&gt;=0),A307="")),C307,"")</f>
        <v/>
      </c>
      <c r="C307" s="17">
        <f t="shared" si="8"/>
        <v>306</v>
      </c>
      <c r="D307" s="4">
        <f>Data!C382</f>
        <v>172</v>
      </c>
      <c r="E307" s="324" t="s">
        <v>858</v>
      </c>
    </row>
    <row r="308" spans="1:5" x14ac:dyDescent="0.2">
      <c r="A308" s="324">
        <f>IF(Data!E383="","",Data!E383)</f>
        <v>355</v>
      </c>
      <c r="B308" s="1" t="str">
        <f>IF(A308="",C308,"")</f>
        <v/>
      </c>
      <c r="C308" s="17">
        <f>C307+1</f>
        <v>307</v>
      </c>
      <c r="D308" s="4">
        <f>Data!C383</f>
        <v>173</v>
      </c>
      <c r="E308" s="324" t="s">
        <v>859</v>
      </c>
    </row>
    <row r="309" spans="1:5" x14ac:dyDescent="0.2">
      <c r="A309" s="324">
        <f>IF(Data!E383="","",Data!E383)</f>
        <v>355</v>
      </c>
      <c r="B309" s="1" t="str">
        <f>IF(NOT(OR(AND(ISNUMBER(A309),A309&gt;=0),A309="")),C309,"")</f>
        <v/>
      </c>
      <c r="C309" s="17">
        <f t="shared" si="8"/>
        <v>308</v>
      </c>
      <c r="D309" s="4">
        <f>Data!C383</f>
        <v>173</v>
      </c>
      <c r="E309" s="324" t="s">
        <v>858</v>
      </c>
    </row>
    <row r="310" spans="1:5" x14ac:dyDescent="0.2">
      <c r="A310" s="324">
        <f>IF(Data!E384="","",Data!E384)</f>
        <v>315</v>
      </c>
      <c r="B310" s="1" t="str">
        <f>IF(A310="",C310,"")</f>
        <v/>
      </c>
      <c r="C310" s="17">
        <f>C309+1</f>
        <v>309</v>
      </c>
      <c r="D310" s="4">
        <f>Data!C384</f>
        <v>174</v>
      </c>
      <c r="E310" s="324" t="s">
        <v>859</v>
      </c>
    </row>
    <row r="311" spans="1:5" x14ac:dyDescent="0.2">
      <c r="A311" s="324">
        <f>IF(Data!E384="","",Data!E384)</f>
        <v>315</v>
      </c>
      <c r="B311" s="1" t="str">
        <f>IF(NOT(OR(AND(ISNUMBER(A311),A311&gt;=0),A311="")),C311,"")</f>
        <v/>
      </c>
      <c r="C311" s="17">
        <f t="shared" si="8"/>
        <v>310</v>
      </c>
      <c r="D311" s="4">
        <f>Data!C384</f>
        <v>174</v>
      </c>
      <c r="E311" s="324" t="s">
        <v>858</v>
      </c>
    </row>
    <row r="312" spans="1:5" x14ac:dyDescent="0.2">
      <c r="A312" s="324">
        <f>IF(Data!E385="","",Data!E385)</f>
        <v>325</v>
      </c>
      <c r="B312" s="1" t="str">
        <f>IF(A312="",C312,"")</f>
        <v/>
      </c>
      <c r="C312" s="17">
        <f>C311+1</f>
        <v>311</v>
      </c>
      <c r="D312" s="4">
        <f>Data!C385</f>
        <v>175</v>
      </c>
      <c r="E312" s="324" t="s">
        <v>859</v>
      </c>
    </row>
    <row r="313" spans="1:5" x14ac:dyDescent="0.2">
      <c r="A313" s="324">
        <f>IF(Data!E385="","",Data!E385)</f>
        <v>325</v>
      </c>
      <c r="B313" s="1" t="str">
        <f>IF(NOT(OR(AND(ISNUMBER(A313),A313&gt;=0),A313="")),C313,"")</f>
        <v/>
      </c>
      <c r="C313" s="17">
        <f t="shared" si="8"/>
        <v>312</v>
      </c>
      <c r="D313" s="4">
        <f>Data!C385</f>
        <v>175</v>
      </c>
      <c r="E313" s="324" t="s">
        <v>858</v>
      </c>
    </row>
    <row r="314" spans="1:5" x14ac:dyDescent="0.2">
      <c r="A314" s="324">
        <f>IF(Data!E386="","",Data!E386)</f>
        <v>320</v>
      </c>
      <c r="B314" s="1" t="str">
        <f>IF(A314="",C314,"")</f>
        <v/>
      </c>
      <c r="C314" s="17">
        <f>C313+1</f>
        <v>313</v>
      </c>
      <c r="D314" s="4">
        <f>Data!C386</f>
        <v>176</v>
      </c>
      <c r="E314" s="324" t="s">
        <v>859</v>
      </c>
    </row>
    <row r="315" spans="1:5" x14ac:dyDescent="0.2">
      <c r="A315" s="324">
        <f>IF(Data!E386="","",Data!E386)</f>
        <v>320</v>
      </c>
      <c r="B315" s="1" t="str">
        <f>IF(NOT(OR(AND(ISNUMBER(A315),A315&gt;=0),A315="")),C315,"")</f>
        <v/>
      </c>
      <c r="C315" s="17">
        <f t="shared" si="8"/>
        <v>314</v>
      </c>
      <c r="D315" s="4">
        <f>Data!C386</f>
        <v>176</v>
      </c>
      <c r="E315" s="324" t="s">
        <v>858</v>
      </c>
    </row>
    <row r="316" spans="1:5" x14ac:dyDescent="0.2">
      <c r="A316" s="324">
        <f>IF(Data!E387="","",Data!E387)</f>
        <v>315</v>
      </c>
      <c r="B316" s="1" t="str">
        <f>IF(A316="",C316,"")</f>
        <v/>
      </c>
      <c r="C316" s="17">
        <f>C315+1</f>
        <v>315</v>
      </c>
      <c r="D316" s="4">
        <f>Data!C387</f>
        <v>177</v>
      </c>
      <c r="E316" s="324" t="s">
        <v>859</v>
      </c>
    </row>
    <row r="317" spans="1:5" x14ac:dyDescent="0.2">
      <c r="A317" s="324">
        <f>IF(Data!E387="","",Data!E387)</f>
        <v>315</v>
      </c>
      <c r="B317" s="1" t="str">
        <f>IF(NOT(OR(AND(ISNUMBER(A317),A317&gt;=0),A317="")),C317,"")</f>
        <v/>
      </c>
      <c r="C317" s="17">
        <f t="shared" si="8"/>
        <v>316</v>
      </c>
      <c r="D317" s="4">
        <f>Data!C387</f>
        <v>177</v>
      </c>
      <c r="E317" s="324" t="s">
        <v>858</v>
      </c>
    </row>
    <row r="318" spans="1:5" x14ac:dyDescent="0.2">
      <c r="A318" s="324">
        <f>IF(Data!E388="","",Data!E388)</f>
        <v>315</v>
      </c>
      <c r="B318" s="1" t="str">
        <f>IF(A318="",C318,"")</f>
        <v/>
      </c>
      <c r="C318" s="17">
        <f>C317+1</f>
        <v>317</v>
      </c>
      <c r="D318" s="4">
        <f>Data!C388</f>
        <v>178</v>
      </c>
      <c r="E318" s="324" t="s">
        <v>859</v>
      </c>
    </row>
    <row r="319" spans="1:5" x14ac:dyDescent="0.2">
      <c r="A319" s="324">
        <f>IF(Data!E388="","",Data!E388)</f>
        <v>315</v>
      </c>
      <c r="B319" s="1" t="str">
        <f>IF(NOT(OR(AND(ISNUMBER(A319),A319&gt;=0),A319="")),C319,"")</f>
        <v/>
      </c>
      <c r="C319" s="17">
        <f t="shared" si="8"/>
        <v>318</v>
      </c>
      <c r="D319" s="4">
        <f>Data!C388</f>
        <v>178</v>
      </c>
      <c r="E319" s="324" t="s">
        <v>858</v>
      </c>
    </row>
    <row r="320" spans="1:5" x14ac:dyDescent="0.2">
      <c r="A320" s="324">
        <f>IF(Data!E389="","",Data!E389)</f>
        <v>310</v>
      </c>
      <c r="B320" s="1" t="str">
        <f>IF(A320="",C320,"")</f>
        <v/>
      </c>
      <c r="C320" s="17">
        <f>C319+1</f>
        <v>319</v>
      </c>
      <c r="D320" s="4">
        <f>Data!C389</f>
        <v>179</v>
      </c>
      <c r="E320" s="324" t="s">
        <v>859</v>
      </c>
    </row>
    <row r="321" spans="1:5" x14ac:dyDescent="0.2">
      <c r="A321" s="324">
        <f>IF(Data!E389="","",Data!E389)</f>
        <v>310</v>
      </c>
      <c r="B321" s="1" t="str">
        <f>IF(NOT(OR(AND(ISNUMBER(A321),A321&gt;=0),A321="")),C321,"")</f>
        <v/>
      </c>
      <c r="C321" s="17">
        <f t="shared" si="8"/>
        <v>320</v>
      </c>
      <c r="D321" s="4">
        <f>Data!C389</f>
        <v>179</v>
      </c>
      <c r="E321" s="324" t="s">
        <v>858</v>
      </c>
    </row>
    <row r="322" spans="1:5" x14ac:dyDescent="0.2">
      <c r="A322" s="324">
        <f>IF(Data!E390="","",Data!E390)</f>
        <v>305</v>
      </c>
      <c r="B322" s="1" t="str">
        <f>IF(A322="",C322,"")</f>
        <v/>
      </c>
      <c r="C322" s="17">
        <f>C321+1</f>
        <v>321</v>
      </c>
      <c r="D322" s="4">
        <f>Data!C390</f>
        <v>180</v>
      </c>
      <c r="E322" s="324" t="s">
        <v>859</v>
      </c>
    </row>
    <row r="323" spans="1:5" x14ac:dyDescent="0.2">
      <c r="A323" s="324">
        <f>IF(Data!E390="","",Data!E390)</f>
        <v>305</v>
      </c>
      <c r="B323" s="1" t="str">
        <f>IF(NOT(OR(AND(ISNUMBER(A323),A323&gt;=0),A323="")),C323,"")</f>
        <v/>
      </c>
      <c r="C323" s="17">
        <f t="shared" si="8"/>
        <v>322</v>
      </c>
      <c r="D323" s="4">
        <f>Data!C390</f>
        <v>180</v>
      </c>
      <c r="E323" s="324" t="s">
        <v>858</v>
      </c>
    </row>
    <row r="324" spans="1:5" x14ac:dyDescent="0.2">
      <c r="A324" s="324">
        <f>IF(Data!E391="","",Data!E391)</f>
        <v>330</v>
      </c>
      <c r="B324" s="1" t="str">
        <f>IF(A324="",C324,"")</f>
        <v/>
      </c>
      <c r="C324" s="17">
        <f>C323+1</f>
        <v>323</v>
      </c>
      <c r="D324" s="4">
        <f>Data!C391</f>
        <v>181</v>
      </c>
      <c r="E324" s="324" t="s">
        <v>859</v>
      </c>
    </row>
    <row r="325" spans="1:5" x14ac:dyDescent="0.2">
      <c r="A325" s="324">
        <f>IF(Data!E391="","",Data!E391)</f>
        <v>330</v>
      </c>
      <c r="B325" s="1" t="str">
        <f>IF(NOT(OR(AND(ISNUMBER(A325),A325&gt;=0),A325="")),C325,"")</f>
        <v/>
      </c>
      <c r="C325" s="17">
        <f t="shared" si="8"/>
        <v>324</v>
      </c>
      <c r="D325" s="4">
        <f>Data!C391</f>
        <v>181</v>
      </c>
      <c r="E325" s="324" t="s">
        <v>858</v>
      </c>
    </row>
    <row r="326" spans="1:5" x14ac:dyDescent="0.2">
      <c r="A326" s="324">
        <f>IF(Data!E392="","",Data!E392)</f>
        <v>305</v>
      </c>
      <c r="B326" s="1" t="str">
        <f>IF(A326="",C326,"")</f>
        <v/>
      </c>
      <c r="C326" s="17">
        <f>C325+1</f>
        <v>325</v>
      </c>
      <c r="D326" s="4">
        <f>Data!C392</f>
        <v>182</v>
      </c>
      <c r="E326" s="324" t="s">
        <v>859</v>
      </c>
    </row>
    <row r="327" spans="1:5" x14ac:dyDescent="0.2">
      <c r="A327" s="324">
        <f>IF(Data!E392="","",Data!E392)</f>
        <v>305</v>
      </c>
      <c r="B327" s="1" t="str">
        <f>IF(NOT(OR(AND(ISNUMBER(A327),A327&gt;=0),A327="")),C327,"")</f>
        <v/>
      </c>
      <c r="C327" s="17">
        <f t="shared" si="8"/>
        <v>326</v>
      </c>
      <c r="D327" s="4">
        <f>Data!C392</f>
        <v>182</v>
      </c>
      <c r="E327" s="324" t="s">
        <v>858</v>
      </c>
    </row>
    <row r="328" spans="1:5" x14ac:dyDescent="0.2">
      <c r="A328" s="324">
        <f>IF(Data!E393="","",Data!E393)</f>
        <v>330</v>
      </c>
      <c r="B328" s="1" t="str">
        <f>IF(A328="",C328,"")</f>
        <v/>
      </c>
      <c r="C328" s="17">
        <f>C327+1</f>
        <v>327</v>
      </c>
      <c r="D328" s="4">
        <f>Data!C393</f>
        <v>183</v>
      </c>
      <c r="E328" s="324" t="s">
        <v>859</v>
      </c>
    </row>
    <row r="329" spans="1:5" x14ac:dyDescent="0.2">
      <c r="A329" s="324">
        <f>IF(Data!E393="","",Data!E393)</f>
        <v>330</v>
      </c>
      <c r="B329" s="1" t="str">
        <f>IF(NOT(OR(AND(ISNUMBER(A329),A329&gt;=0),A329="")),C329,"")</f>
        <v/>
      </c>
      <c r="C329" s="17">
        <f t="shared" si="8"/>
        <v>328</v>
      </c>
      <c r="D329" s="4">
        <f>Data!C393</f>
        <v>183</v>
      </c>
      <c r="E329" s="324" t="s">
        <v>858</v>
      </c>
    </row>
    <row r="330" spans="1:5" x14ac:dyDescent="0.2">
      <c r="A330" s="324">
        <f>IF(Data!E394="","",Data!E394)</f>
        <v>330</v>
      </c>
      <c r="B330" s="1" t="str">
        <f>IF(A330="",C330,"")</f>
        <v/>
      </c>
      <c r="C330" s="17">
        <f>C329+1</f>
        <v>329</v>
      </c>
      <c r="D330" s="4">
        <f>Data!C394</f>
        <v>184</v>
      </c>
      <c r="E330" s="324" t="s">
        <v>859</v>
      </c>
    </row>
    <row r="331" spans="1:5" x14ac:dyDescent="0.2">
      <c r="A331" s="324">
        <f>IF(Data!E394="","",Data!E394)</f>
        <v>330</v>
      </c>
      <c r="B331" s="1" t="str">
        <f>IF(NOT(OR(AND(ISNUMBER(A331),A331&gt;=0),A331="")),C331,"")</f>
        <v/>
      </c>
      <c r="C331" s="17">
        <f t="shared" si="8"/>
        <v>330</v>
      </c>
      <c r="D331" s="4">
        <f>Data!C394</f>
        <v>184</v>
      </c>
      <c r="E331" s="324" t="s">
        <v>858</v>
      </c>
    </row>
    <row r="332" spans="1:5" x14ac:dyDescent="0.2">
      <c r="A332" s="324">
        <f>IF(Data!E395="","",Data!E395)</f>
        <v>305</v>
      </c>
      <c r="B332" s="1" t="str">
        <f>IF(A332="",C332,"")</f>
        <v/>
      </c>
      <c r="C332" s="17">
        <f>C331+1</f>
        <v>331</v>
      </c>
      <c r="D332" s="4">
        <f>Data!C395</f>
        <v>185</v>
      </c>
      <c r="E332" s="324" t="s">
        <v>859</v>
      </c>
    </row>
    <row r="333" spans="1:5" x14ac:dyDescent="0.2">
      <c r="A333" s="324">
        <f>IF(Data!E395="","",Data!E395)</f>
        <v>305</v>
      </c>
      <c r="B333" s="1" t="str">
        <f>IF(NOT(OR(AND(ISNUMBER(A333),A333&gt;=0),A333="")),C333,"")</f>
        <v/>
      </c>
      <c r="C333" s="17">
        <f t="shared" si="8"/>
        <v>332</v>
      </c>
      <c r="D333" s="4">
        <f>Data!C395</f>
        <v>185</v>
      </c>
      <c r="E333" s="324" t="s">
        <v>858</v>
      </c>
    </row>
    <row r="334" spans="1:5" x14ac:dyDescent="0.2">
      <c r="A334" s="324">
        <f>IF(Data!E396="","",Data!E396)</f>
        <v>315</v>
      </c>
      <c r="B334" s="1" t="str">
        <f>IF(A334="",C334,"")</f>
        <v/>
      </c>
      <c r="C334" s="17">
        <f>C333+1</f>
        <v>333</v>
      </c>
      <c r="D334" s="4">
        <f>Data!C396</f>
        <v>186</v>
      </c>
      <c r="E334" s="324" t="s">
        <v>859</v>
      </c>
    </row>
    <row r="335" spans="1:5" x14ac:dyDescent="0.2">
      <c r="A335" s="324">
        <f>IF(Data!E396="","",Data!E396)</f>
        <v>315</v>
      </c>
      <c r="B335" s="1" t="str">
        <f>IF(NOT(OR(AND(ISNUMBER(A335),A335&gt;=0),A335="")),C335,"")</f>
        <v/>
      </c>
      <c r="C335" s="17">
        <f t="shared" ref="C335:C392" si="9">C334+1</f>
        <v>334</v>
      </c>
      <c r="D335" s="4">
        <f>Data!C396</f>
        <v>186</v>
      </c>
      <c r="E335" s="324" t="s">
        <v>858</v>
      </c>
    </row>
    <row r="336" spans="1:5" x14ac:dyDescent="0.2">
      <c r="A336" s="324">
        <f>IF(Data!E397="","",Data!E397)</f>
        <v>335</v>
      </c>
      <c r="B336" s="1" t="str">
        <f>IF(A336="",C336,"")</f>
        <v/>
      </c>
      <c r="C336" s="17">
        <f>C335+1</f>
        <v>335</v>
      </c>
      <c r="D336" s="4">
        <f>Data!C397</f>
        <v>187</v>
      </c>
      <c r="E336" s="324" t="s">
        <v>859</v>
      </c>
    </row>
    <row r="337" spans="1:5" x14ac:dyDescent="0.2">
      <c r="A337" s="324">
        <f>IF(Data!E397="","",Data!E397)</f>
        <v>335</v>
      </c>
      <c r="B337" s="1" t="str">
        <f>IF(NOT(OR(AND(ISNUMBER(A337),A337&gt;=0),A337="")),C337,"")</f>
        <v/>
      </c>
      <c r="C337" s="17">
        <f t="shared" si="9"/>
        <v>336</v>
      </c>
      <c r="D337" s="4">
        <f>Data!C397</f>
        <v>187</v>
      </c>
      <c r="E337" s="324" t="s">
        <v>858</v>
      </c>
    </row>
    <row r="338" spans="1:5" x14ac:dyDescent="0.2">
      <c r="A338" s="324">
        <f>IF(Data!E398="","",Data!E398)</f>
        <v>320</v>
      </c>
      <c r="B338" s="1" t="str">
        <f>IF(A338="",C338,"")</f>
        <v/>
      </c>
      <c r="C338" s="17">
        <f>C337+1</f>
        <v>337</v>
      </c>
      <c r="D338" s="4">
        <f>Data!C398</f>
        <v>188</v>
      </c>
      <c r="E338" s="324" t="s">
        <v>859</v>
      </c>
    </row>
    <row r="339" spans="1:5" x14ac:dyDescent="0.2">
      <c r="A339" s="324">
        <f>IF(Data!E398="","",Data!E398)</f>
        <v>320</v>
      </c>
      <c r="B339" s="1" t="str">
        <f>IF(NOT(OR(AND(ISNUMBER(A339),A339&gt;=0),A339="")),C339,"")</f>
        <v/>
      </c>
      <c r="C339" s="17">
        <f t="shared" si="9"/>
        <v>338</v>
      </c>
      <c r="D339" s="4">
        <f>Data!C398</f>
        <v>188</v>
      </c>
      <c r="E339" s="324" t="s">
        <v>858</v>
      </c>
    </row>
    <row r="340" spans="1:5" x14ac:dyDescent="0.2">
      <c r="A340" s="324">
        <f>IF(Data!E399="","",Data!E399)</f>
        <v>340</v>
      </c>
      <c r="B340" s="1" t="str">
        <f>IF(A340="",C340,"")</f>
        <v/>
      </c>
      <c r="C340" s="17">
        <f>C339+1</f>
        <v>339</v>
      </c>
      <c r="D340" s="4">
        <f>Data!C399</f>
        <v>189</v>
      </c>
      <c r="E340" s="324" t="s">
        <v>859</v>
      </c>
    </row>
    <row r="341" spans="1:5" x14ac:dyDescent="0.2">
      <c r="A341" s="324">
        <f>IF(Data!E399="","",Data!E399)</f>
        <v>340</v>
      </c>
      <c r="B341" s="1" t="str">
        <f>IF(NOT(OR(AND(ISNUMBER(A341),A341&gt;=0),A341="")),C341,"")</f>
        <v/>
      </c>
      <c r="C341" s="17">
        <f t="shared" si="9"/>
        <v>340</v>
      </c>
      <c r="D341" s="4">
        <f>Data!C399</f>
        <v>189</v>
      </c>
      <c r="E341" s="324" t="s">
        <v>858</v>
      </c>
    </row>
    <row r="342" spans="1:5" x14ac:dyDescent="0.2">
      <c r="A342" s="324">
        <f>IF(Data!E400="","",Data!E400)</f>
        <v>335</v>
      </c>
      <c r="B342" s="1" t="str">
        <f>IF(A342="",C342,"")</f>
        <v/>
      </c>
      <c r="C342" s="17">
        <f>C341+1</f>
        <v>341</v>
      </c>
      <c r="D342" s="4">
        <f>Data!C400</f>
        <v>190</v>
      </c>
      <c r="E342" s="324" t="s">
        <v>859</v>
      </c>
    </row>
    <row r="343" spans="1:5" x14ac:dyDescent="0.2">
      <c r="A343" s="324">
        <f>IF(Data!E400="","",Data!E400)</f>
        <v>335</v>
      </c>
      <c r="B343" s="1" t="str">
        <f>IF(NOT(OR(AND(ISNUMBER(A343),A343&gt;=0),A343="")),C343,"")</f>
        <v/>
      </c>
      <c r="C343" s="17">
        <f t="shared" si="9"/>
        <v>342</v>
      </c>
      <c r="D343" s="4">
        <f>Data!C400</f>
        <v>190</v>
      </c>
      <c r="E343" s="324" t="s">
        <v>858</v>
      </c>
    </row>
    <row r="344" spans="1:5" x14ac:dyDescent="0.2">
      <c r="A344" s="324">
        <f>IF(Data!E401="","",Data!E401)</f>
        <v>345</v>
      </c>
      <c r="B344" s="1" t="str">
        <f>IF(A344="",C344,"")</f>
        <v/>
      </c>
      <c r="C344" s="17">
        <f>C343+1</f>
        <v>343</v>
      </c>
      <c r="D344" s="4">
        <f>Data!C401</f>
        <v>191</v>
      </c>
      <c r="E344" s="324" t="s">
        <v>859</v>
      </c>
    </row>
    <row r="345" spans="1:5" x14ac:dyDescent="0.2">
      <c r="A345" s="324">
        <f>IF(Data!E401="","",Data!E401)</f>
        <v>345</v>
      </c>
      <c r="B345" s="1" t="str">
        <f>IF(NOT(OR(AND(ISNUMBER(A345),A345&gt;=0),A345="")),C345,"")</f>
        <v/>
      </c>
      <c r="C345" s="17">
        <f t="shared" si="9"/>
        <v>344</v>
      </c>
      <c r="D345" s="4">
        <f>Data!C401</f>
        <v>191</v>
      </c>
      <c r="E345" s="324" t="s">
        <v>858</v>
      </c>
    </row>
    <row r="346" spans="1:5" x14ac:dyDescent="0.2">
      <c r="A346" s="324">
        <f>IF(Data!E402="","",Data!E402)</f>
        <v>325</v>
      </c>
      <c r="B346" s="1" t="str">
        <f>IF(A346="",C346,"")</f>
        <v/>
      </c>
      <c r="C346" s="17">
        <f>C345+1</f>
        <v>345</v>
      </c>
      <c r="D346" s="4">
        <f>Data!C402</f>
        <v>192</v>
      </c>
      <c r="E346" s="324" t="s">
        <v>859</v>
      </c>
    </row>
    <row r="347" spans="1:5" x14ac:dyDescent="0.2">
      <c r="A347" s="324">
        <f>IF(Data!E402="","",Data!E402)</f>
        <v>325</v>
      </c>
      <c r="B347" s="1" t="str">
        <f>IF(NOT(OR(AND(ISNUMBER(A347),A347&gt;=0),A347="")),C347,"")</f>
        <v/>
      </c>
      <c r="C347" s="17">
        <f t="shared" si="9"/>
        <v>346</v>
      </c>
      <c r="D347" s="4">
        <f>Data!C402</f>
        <v>192</v>
      </c>
      <c r="E347" s="324" t="s">
        <v>858</v>
      </c>
    </row>
    <row r="348" spans="1:5" x14ac:dyDescent="0.2">
      <c r="A348" s="324">
        <f>IF(Data!E403="","",Data!E403)</f>
        <v>330</v>
      </c>
      <c r="B348" s="1" t="str">
        <f>IF(A348="",C348,"")</f>
        <v/>
      </c>
      <c r="C348" s="17">
        <f>C347+1</f>
        <v>347</v>
      </c>
      <c r="D348" s="4">
        <f>Data!C403</f>
        <v>193</v>
      </c>
      <c r="E348" s="324" t="s">
        <v>859</v>
      </c>
    </row>
    <row r="349" spans="1:5" x14ac:dyDescent="0.2">
      <c r="A349" s="324">
        <f>IF(Data!E403="","",Data!E403)</f>
        <v>330</v>
      </c>
      <c r="B349" s="1" t="str">
        <f>IF(NOT(OR(AND(ISNUMBER(A349),A349&gt;=0),A349="")),C349,"")</f>
        <v/>
      </c>
      <c r="C349" s="17">
        <f t="shared" si="9"/>
        <v>348</v>
      </c>
      <c r="D349" s="4">
        <f>Data!C403</f>
        <v>193</v>
      </c>
      <c r="E349" s="324" t="s">
        <v>858</v>
      </c>
    </row>
    <row r="350" spans="1:5" x14ac:dyDescent="0.2">
      <c r="A350" s="324">
        <f>IF(Data!E404="","",Data!E404)</f>
        <v>320</v>
      </c>
      <c r="B350" s="1" t="str">
        <f>IF(A350="",C350,"")</f>
        <v/>
      </c>
      <c r="C350" s="17">
        <f>C349+1</f>
        <v>349</v>
      </c>
      <c r="D350" s="4">
        <f>Data!C404</f>
        <v>194</v>
      </c>
      <c r="E350" s="324" t="s">
        <v>859</v>
      </c>
    </row>
    <row r="351" spans="1:5" x14ac:dyDescent="0.2">
      <c r="A351" s="324">
        <f>IF(Data!E404="","",Data!E404)</f>
        <v>320</v>
      </c>
      <c r="B351" s="1" t="str">
        <f>IF(NOT(OR(AND(ISNUMBER(A351),A351&gt;=0),A351="")),C351,"")</f>
        <v/>
      </c>
      <c r="C351" s="17">
        <f t="shared" si="9"/>
        <v>350</v>
      </c>
      <c r="D351" s="4">
        <f>Data!C404</f>
        <v>194</v>
      </c>
      <c r="E351" s="324" t="s">
        <v>858</v>
      </c>
    </row>
    <row r="352" spans="1:5" x14ac:dyDescent="0.2">
      <c r="A352" s="324">
        <f>IF(Data!E405="","",Data!E405)</f>
        <v>345</v>
      </c>
      <c r="B352" s="1" t="str">
        <f>IF(A352="",C352,"")</f>
        <v/>
      </c>
      <c r="C352" s="17">
        <f>C351+1</f>
        <v>351</v>
      </c>
      <c r="D352" s="4">
        <f>Data!C405</f>
        <v>195</v>
      </c>
      <c r="E352" s="324" t="s">
        <v>859</v>
      </c>
    </row>
    <row r="353" spans="1:5" x14ac:dyDescent="0.2">
      <c r="A353" s="324">
        <f>IF(Data!E405="","",Data!E405)</f>
        <v>345</v>
      </c>
      <c r="B353" s="1" t="str">
        <f>IF(NOT(OR(AND(ISNUMBER(A353),A353&gt;=0),A353="")),C353,"")</f>
        <v/>
      </c>
      <c r="C353" s="17">
        <f>C352+1</f>
        <v>352</v>
      </c>
      <c r="D353" s="4">
        <f>Data!C405</f>
        <v>195</v>
      </c>
      <c r="E353" s="324" t="s">
        <v>858</v>
      </c>
    </row>
    <row r="354" spans="1:5" x14ac:dyDescent="0.2">
      <c r="A354" s="324">
        <f>IF(Data!E406="","",Data!E406)</f>
        <v>320</v>
      </c>
      <c r="B354" s="1" t="str">
        <f>IF(A354="",C354,"")</f>
        <v/>
      </c>
      <c r="C354" s="17">
        <f>C353+1</f>
        <v>353</v>
      </c>
      <c r="D354" s="4">
        <f>Data!C406</f>
        <v>196</v>
      </c>
      <c r="E354" s="324" t="s">
        <v>859</v>
      </c>
    </row>
    <row r="355" spans="1:5" s="78" customFormat="1" ht="15" thickBot="1" x14ac:dyDescent="0.25">
      <c r="A355" s="78">
        <f>IF(Data!E406="","",Data!E406)</f>
        <v>320</v>
      </c>
      <c r="B355" s="1" t="str">
        <f>IF(NOT(OR(AND(ISNUMBER(A355),A355&gt;=0),A355="")),C355,"")</f>
        <v/>
      </c>
      <c r="C355" s="78">
        <f t="shared" si="9"/>
        <v>354</v>
      </c>
      <c r="D355" s="78">
        <f>Data!C406</f>
        <v>196</v>
      </c>
      <c r="E355" s="78" t="s">
        <v>858</v>
      </c>
    </row>
    <row r="356" spans="1:5" x14ac:dyDescent="0.2">
      <c r="A356" s="324"/>
      <c r="B356" s="328"/>
      <c r="C356" s="17">
        <f>C355+1</f>
        <v>355</v>
      </c>
      <c r="D356" s="74" t="s">
        <v>267</v>
      </c>
      <c r="E356" s="324" t="s">
        <v>877</v>
      </c>
    </row>
    <row r="357" spans="1:5" x14ac:dyDescent="0.2">
      <c r="A357" s="324">
        <f>IF(Data!E413="","",Data!E413)</f>
        <v>23.5</v>
      </c>
      <c r="B357" s="1" t="str">
        <f>IF(A357="",C357,"")</f>
        <v/>
      </c>
      <c r="C357" s="17">
        <f t="shared" si="9"/>
        <v>356</v>
      </c>
      <c r="D357" s="4">
        <f>Data!C413</f>
        <v>197</v>
      </c>
      <c r="E357" s="324" t="s">
        <v>859</v>
      </c>
    </row>
    <row r="358" spans="1:5" x14ac:dyDescent="0.2">
      <c r="A358" s="324">
        <f>IF(Data!E413="","",Data!E413)</f>
        <v>23.5</v>
      </c>
      <c r="B358" s="1" t="str">
        <f>IF(NOT(OR(AND(ISNUMBER(A358),A358&gt;=0),A358="")),C358,"")</f>
        <v/>
      </c>
      <c r="C358" s="17">
        <f t="shared" si="9"/>
        <v>357</v>
      </c>
      <c r="D358" s="4">
        <f>Data!C413</f>
        <v>197</v>
      </c>
      <c r="E358" s="324" t="s">
        <v>858</v>
      </c>
    </row>
    <row r="359" spans="1:5" x14ac:dyDescent="0.2">
      <c r="A359" s="324">
        <f>IF(Data!E414="","",Data!E414)</f>
        <v>800</v>
      </c>
      <c r="B359" s="1" t="str">
        <f>IF(A359="",C359,"")</f>
        <v/>
      </c>
      <c r="C359" s="17">
        <f t="shared" si="9"/>
        <v>358</v>
      </c>
      <c r="D359" s="4">
        <f>Data!C414</f>
        <v>198</v>
      </c>
      <c r="E359" s="324" t="s">
        <v>859</v>
      </c>
    </row>
    <row r="360" spans="1:5" x14ac:dyDescent="0.2">
      <c r="A360" s="324">
        <f>IF(Data!E414="","",Data!E414)</f>
        <v>800</v>
      </c>
      <c r="B360" s="1" t="str">
        <f>IF(NOT(OR(AND(ISNUMBER(A360),A360&gt;=0),A360="")),C360,"")</f>
        <v/>
      </c>
      <c r="C360" s="17">
        <f t="shared" si="9"/>
        <v>359</v>
      </c>
      <c r="D360" s="4">
        <f>Data!C414</f>
        <v>198</v>
      </c>
      <c r="E360" s="324" t="s">
        <v>858</v>
      </c>
    </row>
    <row r="361" spans="1:5" x14ac:dyDescent="0.2">
      <c r="A361" s="324">
        <f>IF(Data!E416="","",Data!E416)</f>
        <v>8</v>
      </c>
      <c r="B361" s="1" t="str">
        <f>IF(A361="",C361,"")</f>
        <v/>
      </c>
      <c r="C361" s="17">
        <f t="shared" si="9"/>
        <v>360</v>
      </c>
      <c r="D361" s="4">
        <f>Data!C416</f>
        <v>199</v>
      </c>
      <c r="E361" s="324" t="s">
        <v>859</v>
      </c>
    </row>
    <row r="362" spans="1:5" x14ac:dyDescent="0.2">
      <c r="A362" s="324">
        <f>IF(Data!E416="","",Data!E416)</f>
        <v>8</v>
      </c>
      <c r="B362" s="1" t="str">
        <f>IF(NOT(OR(AND(ISNUMBER(A362),A362&gt;=0),A362="")),C362,"")</f>
        <v/>
      </c>
      <c r="C362" s="17">
        <f t="shared" si="9"/>
        <v>361</v>
      </c>
      <c r="D362" s="4">
        <f>Data!C416</f>
        <v>199</v>
      </c>
      <c r="E362" s="324" t="s">
        <v>858</v>
      </c>
    </row>
    <row r="363" spans="1:5" x14ac:dyDescent="0.2">
      <c r="A363" s="324">
        <f>IF(Data!G419="","",Data!G419)</f>
        <v>3</v>
      </c>
      <c r="B363" s="367" t="str">
        <f>IF(A363=1,C363,"")</f>
        <v/>
      </c>
      <c r="C363" s="17">
        <f t="shared" si="9"/>
        <v>362</v>
      </c>
      <c r="D363" s="4">
        <f>Data!C419</f>
        <v>200</v>
      </c>
      <c r="E363" s="324" t="s">
        <v>876</v>
      </c>
    </row>
    <row r="364" spans="1:5" x14ac:dyDescent="0.2">
      <c r="A364" s="326">
        <f>IF(Data!G419="","",Data!G419)</f>
        <v>3</v>
      </c>
      <c r="B364" s="367" t="str">
        <f>IF(AND(Data!G419&lt;&gt;2,OR(Data!E424&lt;&gt;"",Data!G426&gt;1)),C364,"")</f>
        <v/>
      </c>
      <c r="C364" s="17">
        <f t="shared" si="9"/>
        <v>363</v>
      </c>
      <c r="D364" s="4">
        <f>Data!C419</f>
        <v>200</v>
      </c>
      <c r="E364" s="324" t="s">
        <v>878</v>
      </c>
    </row>
    <row r="365" spans="1:5" s="80" customFormat="1" x14ac:dyDescent="0.2">
      <c r="A365" s="326" t="str">
        <f>IF(Data!E424="","",Data!E424)</f>
        <v/>
      </c>
      <c r="B365" s="1" t="str">
        <f>IF(AND(Data!G419=2,Data!E424=""),'Error Check Table-Hidden'!C365,"")</f>
        <v/>
      </c>
      <c r="C365" s="80">
        <f t="shared" si="9"/>
        <v>364</v>
      </c>
      <c r="D365" s="80">
        <f>Data!C424</f>
        <v>201</v>
      </c>
      <c r="E365" s="324" t="s">
        <v>879</v>
      </c>
    </row>
    <row r="366" spans="1:5" x14ac:dyDescent="0.2">
      <c r="A366" s="324" t="str">
        <f>IF(Data!E424="","",Data!E424)</f>
        <v/>
      </c>
      <c r="B366" s="1" t="str">
        <f>IF(NOT(OR(AND(ISNUMBER(A366),A366&gt;=0),A366="")),C366,"")</f>
        <v/>
      </c>
      <c r="C366" s="80">
        <f t="shared" si="9"/>
        <v>365</v>
      </c>
      <c r="D366" s="4">
        <f>Data!C424</f>
        <v>201</v>
      </c>
      <c r="E366" s="324" t="s">
        <v>858</v>
      </c>
    </row>
    <row r="367" spans="1:5" x14ac:dyDescent="0.2">
      <c r="A367" s="326">
        <f>IF(Data!G426="","",Data!G426)</f>
        <v>1</v>
      </c>
      <c r="B367" s="367" t="str">
        <f>IF(AND(Data!G419=2,Data!G426=1),'Error Check Table-Hidden'!C367,"")</f>
        <v/>
      </c>
      <c r="C367" s="80">
        <f t="shared" si="9"/>
        <v>366</v>
      </c>
      <c r="D367" s="4">
        <f>Data!C426</f>
        <v>202</v>
      </c>
      <c r="E367" s="324" t="s">
        <v>865</v>
      </c>
    </row>
    <row r="368" spans="1:5" x14ac:dyDescent="0.2">
      <c r="A368" s="324">
        <f>IF(Data!E431="","",Data!E431)</f>
        <v>15</v>
      </c>
      <c r="B368" s="1" t="str">
        <f>IF(A368="",C368,"")</f>
        <v/>
      </c>
      <c r="C368" s="154">
        <f t="shared" si="9"/>
        <v>367</v>
      </c>
      <c r="D368" s="4">
        <f>Data!C431</f>
        <v>203</v>
      </c>
      <c r="E368" s="324" t="s">
        <v>859</v>
      </c>
    </row>
    <row r="369" spans="1:5" x14ac:dyDescent="0.2">
      <c r="A369" s="324">
        <f>IF(Data!E431="","",Data!E431)</f>
        <v>15</v>
      </c>
      <c r="B369" s="1" t="str">
        <f>IF(NOT(OR(AND(ISNUMBER(A369),A369&gt;=0),A369="")),C369,"")</f>
        <v/>
      </c>
      <c r="C369" s="80">
        <f t="shared" si="9"/>
        <v>368</v>
      </c>
      <c r="D369" s="4">
        <f>Data!C431</f>
        <v>203</v>
      </c>
      <c r="E369" s="324" t="s">
        <v>858</v>
      </c>
    </row>
    <row r="370" spans="1:5" x14ac:dyDescent="0.2">
      <c r="A370" s="324">
        <f>IF(Data!E432="","",Data!E432)</f>
        <v>8.5</v>
      </c>
      <c r="B370" s="1" t="str">
        <f>IF(A370="",C370,"")</f>
        <v/>
      </c>
      <c r="C370" s="80">
        <f t="shared" si="9"/>
        <v>369</v>
      </c>
      <c r="D370" s="4">
        <f>Data!C432</f>
        <v>204</v>
      </c>
      <c r="E370" s="324" t="s">
        <v>859</v>
      </c>
    </row>
    <row r="371" spans="1:5" x14ac:dyDescent="0.2">
      <c r="A371" s="324">
        <f>IF(Data!E432="","",Data!E432)</f>
        <v>8.5</v>
      </c>
      <c r="B371" s="1" t="str">
        <f>IF(NOT(OR(AND(ISNUMBER(A371),A371&gt;=0),A371="")),C371,"")</f>
        <v/>
      </c>
      <c r="C371" s="17">
        <f t="shared" si="9"/>
        <v>370</v>
      </c>
      <c r="D371" s="4">
        <f>Data!C432</f>
        <v>204</v>
      </c>
      <c r="E371" s="324" t="s">
        <v>858</v>
      </c>
    </row>
    <row r="372" spans="1:5" x14ac:dyDescent="0.2">
      <c r="A372" s="324">
        <f>IF(Data!E434="","",Data!E434)</f>
        <v>8</v>
      </c>
      <c r="B372" s="1" t="str">
        <f>IF(A372="",C372,"")</f>
        <v/>
      </c>
      <c r="C372" s="17">
        <f t="shared" si="9"/>
        <v>371</v>
      </c>
      <c r="D372" s="4">
        <f>Data!C434</f>
        <v>205</v>
      </c>
      <c r="E372" s="324" t="s">
        <v>859</v>
      </c>
    </row>
    <row r="373" spans="1:5" x14ac:dyDescent="0.2">
      <c r="A373" s="324">
        <f>IF(Data!E434="","",Data!E434)</f>
        <v>8</v>
      </c>
      <c r="B373" s="1" t="str">
        <f>IF(NOT(OR(AND(ISNUMBER(A371),A371&gt;=0),A371="")),C371,"")</f>
        <v/>
      </c>
      <c r="C373" s="17">
        <f t="shared" si="9"/>
        <v>372</v>
      </c>
      <c r="D373" s="4">
        <f>Data!C434</f>
        <v>205</v>
      </c>
      <c r="E373" s="324" t="s">
        <v>858</v>
      </c>
    </row>
    <row r="374" spans="1:5" x14ac:dyDescent="0.2">
      <c r="A374" s="324">
        <f>IF(Data!E435="","",Data!E435)</f>
        <v>7</v>
      </c>
      <c r="B374" s="1" t="str">
        <f>IF(A374="",C374,"")</f>
        <v/>
      </c>
      <c r="C374" s="17">
        <f t="shared" si="9"/>
        <v>373</v>
      </c>
      <c r="D374" s="4">
        <f>Data!C435</f>
        <v>206</v>
      </c>
      <c r="E374" s="324" t="s">
        <v>859</v>
      </c>
    </row>
    <row r="375" spans="1:5" x14ac:dyDescent="0.2">
      <c r="A375" s="324">
        <f>IF(Data!E435="","",Data!E435)</f>
        <v>7</v>
      </c>
      <c r="B375" s="1" t="str">
        <f>IF(NOT(OR(AND(ISNUMBER(A371),A371&gt;=0),A371="")),C371,"")</f>
        <v/>
      </c>
      <c r="C375" s="17">
        <f t="shared" si="9"/>
        <v>374</v>
      </c>
      <c r="D375" s="4">
        <f>Data!C435</f>
        <v>206</v>
      </c>
      <c r="E375" s="324" t="s">
        <v>858</v>
      </c>
    </row>
    <row r="376" spans="1:5" x14ac:dyDescent="0.2">
      <c r="A376" s="324">
        <f>IF(Data!E437="","",Data!E437)</f>
        <v>0.2</v>
      </c>
      <c r="B376" s="1" t="str">
        <f>IF(A376="",C376,"")</f>
        <v/>
      </c>
      <c r="C376" s="17">
        <f t="shared" si="9"/>
        <v>375</v>
      </c>
      <c r="D376" s="4">
        <f>Data!C437</f>
        <v>207</v>
      </c>
      <c r="E376" s="324" t="s">
        <v>859</v>
      </c>
    </row>
    <row r="377" spans="1:5" s="78" customFormat="1" ht="15" thickBot="1" x14ac:dyDescent="0.25">
      <c r="A377" s="78">
        <f>IF(Data!E437="","",Data!E437)</f>
        <v>0.2</v>
      </c>
      <c r="B377" s="1" t="str">
        <f>IF(NOT(OR(AND(ISNUMBER(A377),A377&gt;=0),A377="")),C377,"")</f>
        <v/>
      </c>
      <c r="C377" s="78">
        <f t="shared" si="9"/>
        <v>376</v>
      </c>
      <c r="D377" s="78">
        <f>Data!C437</f>
        <v>207</v>
      </c>
      <c r="E377" s="78" t="s">
        <v>858</v>
      </c>
    </row>
    <row r="378" spans="1:5" x14ac:dyDescent="0.2">
      <c r="A378" s="324"/>
      <c r="B378" s="328"/>
      <c r="C378" s="17">
        <f t="shared" si="9"/>
        <v>377</v>
      </c>
      <c r="D378" s="74" t="s">
        <v>268</v>
      </c>
      <c r="E378" s="324" t="s">
        <v>871</v>
      </c>
    </row>
    <row r="379" spans="1:5" x14ac:dyDescent="0.2">
      <c r="A379" s="326" t="str">
        <f>IF(Data!E440="","",Data!E440)</f>
        <v/>
      </c>
      <c r="B379" s="1" t="str">
        <f>IF(AND(OR(COUNT(Data!E440:E441,Data!E443,Data!E451,Data!E458:E459,Data!E461:E462,Data!E464)&gt;0,Data!G446&gt;1,Data!G453&gt;1),Data!E440=""),C379,"")</f>
        <v/>
      </c>
      <c r="C379" s="17">
        <f t="shared" si="9"/>
        <v>378</v>
      </c>
      <c r="D379" s="4">
        <f>Data!C440</f>
        <v>208</v>
      </c>
      <c r="E379" s="324" t="s">
        <v>859</v>
      </c>
    </row>
    <row r="380" spans="1:5" x14ac:dyDescent="0.2">
      <c r="A380" s="324" t="str">
        <f>IF(Data!E440="","",Data!E440)</f>
        <v/>
      </c>
      <c r="B380" s="1" t="str">
        <f>IF(NOT(OR(AND(ISNUMBER(A380),A380&gt;=0),A380="")),C380,"")</f>
        <v/>
      </c>
      <c r="C380" s="17">
        <f t="shared" si="9"/>
        <v>379</v>
      </c>
      <c r="D380" s="4">
        <f>Data!C440</f>
        <v>208</v>
      </c>
      <c r="E380" s="324" t="s">
        <v>858</v>
      </c>
    </row>
    <row r="381" spans="1:5" x14ac:dyDescent="0.2">
      <c r="A381" s="326" t="str">
        <f>IF(Data!E441="","",Data!E441)</f>
        <v/>
      </c>
      <c r="B381" s="1" t="str">
        <f>IF(AND(OR(COUNT(Data!E440:E441,Data!E443,Data!E451,Data!E458:E459,Data!E461:E462,Data!E464)&gt;0,Data!G446&gt;1,Data!G453&gt;1),Data!E441=""),C381,"")</f>
        <v/>
      </c>
      <c r="C381" s="17">
        <f t="shared" si="9"/>
        <v>380</v>
      </c>
      <c r="D381" s="4">
        <f>Data!C441</f>
        <v>209</v>
      </c>
      <c r="E381" s="324" t="s">
        <v>859</v>
      </c>
    </row>
    <row r="382" spans="1:5" x14ac:dyDescent="0.2">
      <c r="A382" s="324" t="str">
        <f>IF(Data!E441="","",Data!E441)</f>
        <v/>
      </c>
      <c r="B382" s="1" t="str">
        <f>IF(NOT(OR(AND(ISNUMBER(A382),A382&gt;=0),A382="")),C382,"")</f>
        <v/>
      </c>
      <c r="C382" s="17">
        <f t="shared" si="9"/>
        <v>381</v>
      </c>
      <c r="D382" s="4">
        <f>Data!C441</f>
        <v>209</v>
      </c>
      <c r="E382" s="324" t="s">
        <v>858</v>
      </c>
    </row>
    <row r="383" spans="1:5" x14ac:dyDescent="0.2">
      <c r="A383" s="326" t="str">
        <f>IF(Data!E443="","",Data!E443)</f>
        <v/>
      </c>
      <c r="B383" s="1" t="str">
        <f>IF(AND(OR(COUNT(Data!E440:E441,Data!E443,Data!#REF!,Data!#REF!,Data!E458:E459,Data!E461:E462,Data!E464)&gt;0,Data!G446&gt;1),Data!E443=""),C383,"")</f>
        <v/>
      </c>
      <c r="C383" s="17">
        <f t="shared" si="9"/>
        <v>382</v>
      </c>
      <c r="D383" s="4">
        <f>Data!C443</f>
        <v>210</v>
      </c>
      <c r="E383" s="324" t="s">
        <v>859</v>
      </c>
    </row>
    <row r="384" spans="1:5" x14ac:dyDescent="0.2">
      <c r="A384" s="324" t="str">
        <f>IF(Data!E443="","",Data!E443)</f>
        <v/>
      </c>
      <c r="B384" s="1" t="str">
        <f>IF(NOT(OR(AND(ISNUMBER(A384),A384&gt;=0),A384="")),C384,"")</f>
        <v/>
      </c>
      <c r="C384" s="17">
        <f t="shared" si="9"/>
        <v>383</v>
      </c>
      <c r="D384" s="4">
        <f>Data!C443</f>
        <v>210</v>
      </c>
      <c r="E384" s="324" t="s">
        <v>858</v>
      </c>
    </row>
    <row r="385" spans="1:5" x14ac:dyDescent="0.2">
      <c r="A385" s="326">
        <f>IF(Data!G446="","",Data!G446)</f>
        <v>1</v>
      </c>
      <c r="B385" s="367" t="str">
        <f>IF(AND(COUNT(Data!E440:E441,Data!E443,Data!E458:E459,Data!E461:E462,Data!E464)&gt;0,Data!G446=1),C385,"")</f>
        <v/>
      </c>
      <c r="C385" s="17">
        <f t="shared" si="9"/>
        <v>384</v>
      </c>
      <c r="D385" s="4">
        <f>Data!C446</f>
        <v>211</v>
      </c>
      <c r="E385" s="324" t="s">
        <v>872</v>
      </c>
    </row>
    <row r="386" spans="1:5" x14ac:dyDescent="0.2">
      <c r="A386" s="326">
        <f>IF(Data!G446="","",Data!G446)</f>
        <v>1</v>
      </c>
      <c r="B386" s="367" t="str">
        <f>IF(AND(OR(Data!E451&lt;&gt;"",Data!G453&gt;1),Data!G446&lt;&gt;2),'Error Check Table-Hidden'!C386,"")</f>
        <v/>
      </c>
      <c r="C386" s="17">
        <f t="shared" si="9"/>
        <v>385</v>
      </c>
      <c r="D386" s="4">
        <f>Data!C446</f>
        <v>211</v>
      </c>
      <c r="E386" s="324" t="s">
        <v>873</v>
      </c>
    </row>
    <row r="387" spans="1:5" x14ac:dyDescent="0.2">
      <c r="A387" s="326" t="str">
        <f>IF(Data!E451="","",Data!E451)</f>
        <v/>
      </c>
      <c r="B387" s="1" t="str">
        <f>IF(AND(Data!G446=2,Data!E451=""),'Error Check Table-Hidden'!C387,"")</f>
        <v/>
      </c>
      <c r="C387" s="80">
        <f t="shared" si="9"/>
        <v>386</v>
      </c>
      <c r="D387" s="154">
        <f>Data!C451</f>
        <v>212</v>
      </c>
      <c r="E387" s="324" t="s">
        <v>874</v>
      </c>
    </row>
    <row r="388" spans="1:5" s="80" customFormat="1" x14ac:dyDescent="0.2">
      <c r="A388" s="324" t="str">
        <f>IF(Data!E451="","",Data!E451)</f>
        <v/>
      </c>
      <c r="B388" s="1" t="str">
        <f>IF(NOT(OR(AND(ISNUMBER(A371),A371&gt;=0),A371="")),C371,"")</f>
        <v/>
      </c>
      <c r="C388" s="80">
        <f t="shared" si="9"/>
        <v>387</v>
      </c>
      <c r="D388" s="154">
        <f>Data!C451</f>
        <v>212</v>
      </c>
      <c r="E388" s="324" t="s">
        <v>858</v>
      </c>
    </row>
    <row r="389" spans="1:5" x14ac:dyDescent="0.2">
      <c r="A389" s="326">
        <f>IF(Data!G453="","",Data!G453)</f>
        <v>1</v>
      </c>
      <c r="B389" s="367" t="str">
        <f>IF(AND(Data!G446=2,Data!G453=1),'Error Check Table-Hidden'!C389,"")</f>
        <v/>
      </c>
      <c r="C389" s="80">
        <f t="shared" si="9"/>
        <v>388</v>
      </c>
      <c r="D389" s="154">
        <f>Data!C453</f>
        <v>213</v>
      </c>
      <c r="E389" s="324" t="s">
        <v>875</v>
      </c>
    </row>
    <row r="390" spans="1:5" x14ac:dyDescent="0.2">
      <c r="A390" s="326" t="str">
        <f>IF(Data!E458="","",Data!E458)</f>
        <v/>
      </c>
      <c r="B390" s="1" t="str">
        <f>IF(AND(OR(COUNT(Data!E440:E441,Data!E443,Data!E451,Data!E458:E459,Data!E461:E462,Data!E464)&gt;0,Data!G446&gt;1,Data!G453&gt;1),Data!E458=""),C390,"")</f>
        <v/>
      </c>
      <c r="C390" s="154">
        <f t="shared" si="9"/>
        <v>389</v>
      </c>
      <c r="D390" s="4">
        <f>Data!C458</f>
        <v>214</v>
      </c>
      <c r="E390" s="324" t="s">
        <v>859</v>
      </c>
    </row>
    <row r="391" spans="1:5" x14ac:dyDescent="0.2">
      <c r="A391" s="324" t="str">
        <f>IF(Data!E458="","",Data!E458)</f>
        <v/>
      </c>
      <c r="B391" s="1" t="str">
        <f>IF(NOT(OR(AND(ISNUMBER(A391),A391&gt;=0),A391="")),C391,"")</f>
        <v/>
      </c>
      <c r="C391" s="80">
        <f t="shared" si="9"/>
        <v>390</v>
      </c>
      <c r="D391" s="4">
        <f>Data!C458</f>
        <v>214</v>
      </c>
      <c r="E391" s="324" t="s">
        <v>858</v>
      </c>
    </row>
    <row r="392" spans="1:5" x14ac:dyDescent="0.2">
      <c r="A392" s="326" t="str">
        <f>IF(Data!E459="","",Data!E459)</f>
        <v/>
      </c>
      <c r="B392" s="1" t="str">
        <f>IF(AND(OR(COUNT(Data!E440:E441,Data!E443,Data!E451,Data!E458:E459,Data!E461:E462,Data!E464)&gt;0,Data!G446&gt;1,Data!G453&gt;1),Data!E459=""),C392,"")</f>
        <v/>
      </c>
      <c r="C392" s="80">
        <f t="shared" si="9"/>
        <v>391</v>
      </c>
      <c r="D392" s="4">
        <f>Data!C459</f>
        <v>215</v>
      </c>
      <c r="E392" s="324" t="s">
        <v>859</v>
      </c>
    </row>
    <row r="393" spans="1:5" x14ac:dyDescent="0.2">
      <c r="A393" s="324" t="str">
        <f>IF(Data!E459="","",Data!E459)</f>
        <v/>
      </c>
      <c r="B393" s="1" t="str">
        <f>IF(NOT(OR(AND(ISNUMBER(A393),A393&gt;=0),A393="")),C393,"")</f>
        <v/>
      </c>
      <c r="C393" s="17">
        <f t="shared" ref="C393:C454" si="10">C392+1</f>
        <v>392</v>
      </c>
      <c r="D393" s="4">
        <f>Data!C459</f>
        <v>215</v>
      </c>
      <c r="E393" s="324" t="s">
        <v>858</v>
      </c>
    </row>
    <row r="394" spans="1:5" x14ac:dyDescent="0.2">
      <c r="A394" s="326" t="str">
        <f>IF(Data!E461="","",Data!E461)</f>
        <v/>
      </c>
      <c r="B394" s="1" t="str">
        <f>IF(AND(OR(COUNT(Data!E440:E441,Data!E443,Data!E451,Data!E458:E459,Data!E461:E462,Data!E464)&gt;0,Data!G446&gt;1,Data!G453&gt;1),Data!E461=""),C394,"")</f>
        <v/>
      </c>
      <c r="C394" s="17">
        <f t="shared" si="10"/>
        <v>393</v>
      </c>
      <c r="D394" s="4">
        <f>Data!C461</f>
        <v>216</v>
      </c>
      <c r="E394" s="324" t="s">
        <v>859</v>
      </c>
    </row>
    <row r="395" spans="1:5" x14ac:dyDescent="0.2">
      <c r="A395" s="324" t="str">
        <f>IF(Data!E461="","",Data!E461)</f>
        <v/>
      </c>
      <c r="B395" s="1" t="str">
        <f>IF(NOT(OR(AND(ISNUMBER(A395),A395&gt;=0),A395="")),C395,"")</f>
        <v/>
      </c>
      <c r="C395" s="17">
        <f t="shared" si="10"/>
        <v>394</v>
      </c>
      <c r="D395" s="4">
        <f>Data!C461</f>
        <v>216</v>
      </c>
      <c r="E395" s="324" t="s">
        <v>858</v>
      </c>
    </row>
    <row r="396" spans="1:5" x14ac:dyDescent="0.2">
      <c r="A396" s="326" t="str">
        <f>IF(Data!E462="","",Data!E462)</f>
        <v/>
      </c>
      <c r="B396" s="1" t="str">
        <f>IF(AND(OR(COUNT(Data!E440:E441,Data!E443,Data!E451,Data!E458:E459,Data!E461:E462,Data!E464)&gt;0,Data!G446&gt;1,Data!G453&gt;1),Data!E462=""),C396,"")</f>
        <v/>
      </c>
      <c r="C396" s="17">
        <f t="shared" si="10"/>
        <v>395</v>
      </c>
      <c r="D396" s="4">
        <f>Data!C462</f>
        <v>217</v>
      </c>
      <c r="E396" s="324" t="s">
        <v>859</v>
      </c>
    </row>
    <row r="397" spans="1:5" x14ac:dyDescent="0.2">
      <c r="A397" s="324" t="str">
        <f>IF(Data!E462="","",Data!E462)</f>
        <v/>
      </c>
      <c r="B397" s="1" t="str">
        <f>IF(NOT(OR(AND(ISNUMBER(A397),A397&gt;=0),A397="")),C397,"")</f>
        <v/>
      </c>
      <c r="C397" s="17">
        <f t="shared" si="10"/>
        <v>396</v>
      </c>
      <c r="D397" s="4">
        <f>Data!C462</f>
        <v>217</v>
      </c>
      <c r="E397" s="324" t="s">
        <v>858</v>
      </c>
    </row>
    <row r="398" spans="1:5" x14ac:dyDescent="0.2">
      <c r="A398" s="326" t="str">
        <f>IF(Data!E464="","",Data!E464)</f>
        <v/>
      </c>
      <c r="B398" s="1" t="str">
        <f>IF(AND(OR(COUNT(Data!E440:E441,Data!E443,Data!E451,Data!E458:E459,Data!E461:E462,Data!E464)&gt;0,Data!G446&gt;1,Data!G453&gt;1),Data!E464=""),C398,"")</f>
        <v/>
      </c>
      <c r="C398" s="17">
        <f t="shared" si="10"/>
        <v>397</v>
      </c>
      <c r="D398" s="4">
        <f>Data!C464</f>
        <v>218</v>
      </c>
      <c r="E398" s="324" t="s">
        <v>859</v>
      </c>
    </row>
    <row r="399" spans="1:5" s="78" customFormat="1" ht="15" thickBot="1" x14ac:dyDescent="0.25">
      <c r="A399" s="78" t="str">
        <f>IF(Data!E464="","",Data!E464)</f>
        <v/>
      </c>
      <c r="B399" s="1" t="str">
        <f>IF(NOT(OR(AND(ISNUMBER(A399),A399&gt;=0),A399="")),C399,"")</f>
        <v/>
      </c>
      <c r="C399" s="78">
        <f t="shared" si="10"/>
        <v>398</v>
      </c>
      <c r="D399" s="78">
        <f>Data!C464</f>
        <v>218</v>
      </c>
      <c r="E399" s="78" t="s">
        <v>858</v>
      </c>
    </row>
    <row r="400" spans="1:5" x14ac:dyDescent="0.2">
      <c r="A400" s="324"/>
      <c r="B400" s="328"/>
      <c r="C400" s="17">
        <f t="shared" si="10"/>
        <v>399</v>
      </c>
      <c r="D400" s="74" t="s">
        <v>269</v>
      </c>
      <c r="E400" s="324" t="s">
        <v>870</v>
      </c>
    </row>
    <row r="401" spans="1:5" x14ac:dyDescent="0.2">
      <c r="A401" s="326" t="str">
        <f>IF(Data!E467="","",Data!E467)</f>
        <v/>
      </c>
      <c r="B401" s="1" t="str">
        <f>IF(AND(OR(COUNT(Data!E467:E468,Data!E470,Data!E478,Data!E485:E486,Data!E488:E489,Data!E491)&gt;0,Data!G473&gt;1, Data!G480&gt;1),Data!E467=""),C401,"")</f>
        <v/>
      </c>
      <c r="C401" s="17">
        <f t="shared" si="10"/>
        <v>400</v>
      </c>
      <c r="D401" s="4">
        <f>Data!C467</f>
        <v>219</v>
      </c>
      <c r="E401" s="324" t="s">
        <v>859</v>
      </c>
    </row>
    <row r="402" spans="1:5" x14ac:dyDescent="0.2">
      <c r="A402" s="324" t="str">
        <f>IF(Data!E467="","",Data!E467)</f>
        <v/>
      </c>
      <c r="B402" s="1" t="str">
        <f>IF(NOT(OR(AND(ISNUMBER(A402),A402&gt;=0),A402="")),C402,"")</f>
        <v/>
      </c>
      <c r="C402" s="17">
        <f t="shared" si="10"/>
        <v>401</v>
      </c>
      <c r="D402" s="4">
        <f>Data!C467</f>
        <v>219</v>
      </c>
      <c r="E402" s="324" t="s">
        <v>858</v>
      </c>
    </row>
    <row r="403" spans="1:5" x14ac:dyDescent="0.2">
      <c r="A403" s="326" t="str">
        <f>IF(Data!E468="","",Data!E468)</f>
        <v/>
      </c>
      <c r="B403" s="1" t="str">
        <f>IF(AND(OR(COUNT(Data!E467:E468,Data!E470,Data!E478,Data!E485:E486,Data!E488:E489,Data!E491)&gt;0,Data!G473&gt;1, Data!G480&gt;1),Data!E468=""),C403,"")</f>
        <v/>
      </c>
      <c r="C403" s="17">
        <f t="shared" si="10"/>
        <v>402</v>
      </c>
      <c r="D403" s="4">
        <f>Data!C468</f>
        <v>220</v>
      </c>
      <c r="E403" s="324" t="s">
        <v>859</v>
      </c>
    </row>
    <row r="404" spans="1:5" x14ac:dyDescent="0.2">
      <c r="A404" s="324" t="str">
        <f>IF(Data!E468="","",Data!E468)</f>
        <v/>
      </c>
      <c r="B404" s="1" t="str">
        <f>IF(NOT(OR(AND(ISNUMBER(A404),A404&gt;=0),A404="")),C404,"")</f>
        <v/>
      </c>
      <c r="C404" s="17">
        <f t="shared" si="10"/>
        <v>403</v>
      </c>
      <c r="D404" s="4">
        <f>Data!C468</f>
        <v>220</v>
      </c>
      <c r="E404" s="324" t="s">
        <v>858</v>
      </c>
    </row>
    <row r="405" spans="1:5" x14ac:dyDescent="0.2">
      <c r="A405" s="326" t="str">
        <f>IF(Data!E470="","",Data!E470)</f>
        <v/>
      </c>
      <c r="B405" s="1" t="str">
        <f>IF(AND(OR(COUNT(Data!E467:E468,Data!E470,Data!E478,Data!E485:E486,Data!E488:E489,Data!E491)&gt;0,Data!G473&gt;1, Data!G480&gt;1),Data!E470=""),C405,"")</f>
        <v/>
      </c>
      <c r="C405" s="17">
        <f t="shared" si="10"/>
        <v>404</v>
      </c>
      <c r="D405" s="4">
        <f>Data!C470</f>
        <v>221</v>
      </c>
      <c r="E405" s="324" t="s">
        <v>859</v>
      </c>
    </row>
    <row r="406" spans="1:5" x14ac:dyDescent="0.2">
      <c r="A406" s="324" t="str">
        <f>IF(Data!E470="","",Data!E470)</f>
        <v/>
      </c>
      <c r="B406" s="1" t="str">
        <f>IF(NOT(OR(AND(ISNUMBER(A406),A406&gt;=0),A406="")),C406,"")</f>
        <v/>
      </c>
      <c r="C406" s="17">
        <f t="shared" si="10"/>
        <v>405</v>
      </c>
      <c r="D406" s="4">
        <f>Data!C470</f>
        <v>221</v>
      </c>
      <c r="E406" s="324" t="s">
        <v>858</v>
      </c>
    </row>
    <row r="407" spans="1:5" x14ac:dyDescent="0.2">
      <c r="A407" s="326">
        <f>IF(Data!G473="","",Data!G473)</f>
        <v>1</v>
      </c>
      <c r="B407" s="367" t="str">
        <f>IF(AND(COUNT(Data!E467:E468,Data!E470,Data!E485:E486,Data!E488:E489,Data!E491)&gt;0,Data!G473=1),C407,"")</f>
        <v/>
      </c>
      <c r="C407" s="17">
        <f t="shared" si="10"/>
        <v>406</v>
      </c>
      <c r="D407" s="4">
        <f>Data!C473</f>
        <v>222</v>
      </c>
      <c r="E407" s="324" t="s">
        <v>869</v>
      </c>
    </row>
    <row r="408" spans="1:5" x14ac:dyDescent="0.2">
      <c r="A408" s="326">
        <f>IF(Data!G473="","",Data!G473)</f>
        <v>1</v>
      </c>
      <c r="B408" s="367" t="str">
        <f>IF(AND(OR(Data!E478&lt;&gt;"",Data!G480&gt;1),Data!G473&lt;&gt;2),C408,"")</f>
        <v/>
      </c>
      <c r="C408" s="17">
        <f t="shared" si="10"/>
        <v>407</v>
      </c>
      <c r="D408" s="4">
        <f>Data!C473</f>
        <v>222</v>
      </c>
      <c r="E408" s="324" t="s">
        <v>868</v>
      </c>
    </row>
    <row r="409" spans="1:5" x14ac:dyDescent="0.2">
      <c r="A409" s="326" t="str">
        <f>IF(Data!E478="","",Data!E478)</f>
        <v/>
      </c>
      <c r="B409" s="1" t="str">
        <f>IF(AND(Data!E478="",Data!G473=2),C409,"")</f>
        <v/>
      </c>
      <c r="C409" s="17">
        <f t="shared" si="10"/>
        <v>408</v>
      </c>
      <c r="D409" s="154">
        <f>Data!C478</f>
        <v>223</v>
      </c>
      <c r="E409" s="324" t="s">
        <v>867</v>
      </c>
    </row>
    <row r="410" spans="1:5" s="80" customFormat="1" x14ac:dyDescent="0.2">
      <c r="A410" s="324" t="str">
        <f>IF(Data!E478="","",Data!E478)</f>
        <v/>
      </c>
      <c r="B410" s="1" t="str">
        <f>IF(NOT(OR(AND(ISNUMBER(A410),A410&gt;=0),A410="")),C410,"")</f>
        <v/>
      </c>
      <c r="C410" s="80">
        <f t="shared" si="10"/>
        <v>409</v>
      </c>
      <c r="D410" s="154">
        <f>Data!C478</f>
        <v>223</v>
      </c>
      <c r="E410" s="324" t="s">
        <v>858</v>
      </c>
    </row>
    <row r="411" spans="1:5" x14ac:dyDescent="0.2">
      <c r="A411" s="326">
        <f>IF(Data!G480="","",Data!G480)</f>
        <v>1</v>
      </c>
      <c r="B411" s="367" t="str">
        <f>IF(AND(Data!G480=1,Data!G473=2),C411,"")</f>
        <v/>
      </c>
      <c r="C411" s="80">
        <f t="shared" si="10"/>
        <v>410</v>
      </c>
      <c r="D411" s="154">
        <f>Data!C480</f>
        <v>224</v>
      </c>
      <c r="E411" s="324" t="s">
        <v>866</v>
      </c>
    </row>
    <row r="412" spans="1:5" x14ac:dyDescent="0.2">
      <c r="A412" s="326" t="str">
        <f>IF(Data!E485="","",Data!E485)</f>
        <v/>
      </c>
      <c r="B412" s="1" t="str">
        <f>IF(AND(OR(COUNT(Data!E467:E468,Data!E470,Data!E478,Data!E485:E486,Data!E488:E489,Data!E491)&gt;0,Data!G473&gt;1, Data!G480&gt;1),Data!E485=""),C412,"")</f>
        <v/>
      </c>
      <c r="C412" s="154">
        <f t="shared" si="10"/>
        <v>411</v>
      </c>
      <c r="D412" s="4">
        <f>Data!C485</f>
        <v>225</v>
      </c>
      <c r="E412" s="324" t="s">
        <v>859</v>
      </c>
    </row>
    <row r="413" spans="1:5" x14ac:dyDescent="0.2">
      <c r="A413" s="324" t="str">
        <f>IF(Data!E485="","",Data!E485)</f>
        <v/>
      </c>
      <c r="B413" s="1" t="str">
        <f>IF(NOT(OR(AND(ISNUMBER(A413),A413&gt;=0),A413="")),C413,"")</f>
        <v/>
      </c>
      <c r="C413" s="80">
        <f t="shared" si="10"/>
        <v>412</v>
      </c>
      <c r="D413" s="4">
        <f>Data!C485</f>
        <v>225</v>
      </c>
      <c r="E413" s="324" t="s">
        <v>858</v>
      </c>
    </row>
    <row r="414" spans="1:5" x14ac:dyDescent="0.2">
      <c r="A414" s="326" t="str">
        <f>IF(Data!E486="","",Data!E486)</f>
        <v/>
      </c>
      <c r="B414" s="1" t="str">
        <f>IF(AND(OR(COUNT(Data!E467:E468,Data!E470,Data!E478,Data!E485:E486,Data!E488:E489,Data!E491)&gt;0,Data!G473&gt;1, Data!G480&gt;1),Data!E486=""),C414,"")</f>
        <v/>
      </c>
      <c r="C414" s="80">
        <f t="shared" si="10"/>
        <v>413</v>
      </c>
      <c r="D414" s="4">
        <f>Data!C486</f>
        <v>226</v>
      </c>
      <c r="E414" s="324" t="s">
        <v>859</v>
      </c>
    </row>
    <row r="415" spans="1:5" x14ac:dyDescent="0.2">
      <c r="A415" s="324" t="str">
        <f>IF(Data!E486="","",Data!E486)</f>
        <v/>
      </c>
      <c r="B415" s="1" t="str">
        <f>IF(NOT(OR(AND(ISNUMBER(A415),A415&gt;=0),A415="")),C415,"")</f>
        <v/>
      </c>
      <c r="C415" s="80">
        <f t="shared" si="10"/>
        <v>414</v>
      </c>
      <c r="D415" s="4">
        <f>Data!C486</f>
        <v>226</v>
      </c>
      <c r="E415" s="324" t="s">
        <v>858</v>
      </c>
    </row>
    <row r="416" spans="1:5" x14ac:dyDescent="0.2">
      <c r="A416" s="326" t="str">
        <f>IF(Data!E488="","",Data!E488)</f>
        <v/>
      </c>
      <c r="B416" s="1" t="str">
        <f>IF(AND(OR(COUNT(Data!E467:E468,Data!E470,Data!E478,Data!E485:E486,Data!E488:E489,Data!E491)&gt;0,Data!G473&gt;1, Data!G480&gt;1),Data!E488=""),C416,"")</f>
        <v/>
      </c>
      <c r="C416" s="80">
        <f t="shared" si="10"/>
        <v>415</v>
      </c>
      <c r="D416" s="17">
        <f>Data!C488</f>
        <v>227</v>
      </c>
      <c r="E416" s="324" t="s">
        <v>859</v>
      </c>
    </row>
    <row r="417" spans="1:5" x14ac:dyDescent="0.2">
      <c r="A417" s="324" t="str">
        <f>IF(Data!E488="","",Data!E488)</f>
        <v/>
      </c>
      <c r="B417" s="1" t="str">
        <f>IF(NOT(OR(AND(ISNUMBER(A417),A417&gt;=0),A417="")),C417,"")</f>
        <v/>
      </c>
      <c r="C417" s="80">
        <f t="shared" si="10"/>
        <v>416</v>
      </c>
      <c r="D417" s="17">
        <f>Data!C488</f>
        <v>227</v>
      </c>
      <c r="E417" s="324" t="s">
        <v>858</v>
      </c>
    </row>
    <row r="418" spans="1:5" x14ac:dyDescent="0.2">
      <c r="A418" s="326" t="str">
        <f>IF(Data!E489="","",Data!E489)</f>
        <v/>
      </c>
      <c r="B418" s="1" t="str">
        <f>IF(AND(OR(COUNT(Data!E467:E468,Data!E470,Data!E478,Data!E485:E486,Data!E488:E489,Data!E491)&gt;0,Data!G473&gt;1, Data!G480&gt;1),Data!E489=""),C418,"")</f>
        <v/>
      </c>
      <c r="C418" s="80">
        <f t="shared" si="10"/>
        <v>417</v>
      </c>
      <c r="D418" s="4">
        <f>Data!C489</f>
        <v>228</v>
      </c>
      <c r="E418" s="324" t="s">
        <v>859</v>
      </c>
    </row>
    <row r="419" spans="1:5" x14ac:dyDescent="0.2">
      <c r="A419" s="324" t="str">
        <f>IF(Data!E489="","",Data!E489)</f>
        <v/>
      </c>
      <c r="B419" s="1" t="str">
        <f>IF(NOT(OR(AND(ISNUMBER(A419),A419&gt;=0),A419="")),C419,"")</f>
        <v/>
      </c>
      <c r="C419" s="80">
        <f t="shared" si="10"/>
        <v>418</v>
      </c>
      <c r="D419" s="4">
        <f>Data!C489</f>
        <v>228</v>
      </c>
      <c r="E419" s="324" t="s">
        <v>858</v>
      </c>
    </row>
    <row r="420" spans="1:5" x14ac:dyDescent="0.2">
      <c r="A420" s="326" t="str">
        <f>IF(Data!E491="","",Data!E491)</f>
        <v/>
      </c>
      <c r="B420" s="1" t="str">
        <f>IF(AND(OR(COUNT(Data!E467:E468,Data!E470,Data!E478,Data!E485:E486,Data!E488:E489,Data!E491)&gt;0,Data!G473&gt;1, Data!G480&gt;1),Data!E491=""),C420,"")</f>
        <v/>
      </c>
      <c r="C420" s="17">
        <f t="shared" si="10"/>
        <v>419</v>
      </c>
      <c r="D420" s="4">
        <f>Data!C491</f>
        <v>229</v>
      </c>
      <c r="E420" s="324" t="s">
        <v>859</v>
      </c>
    </row>
    <row r="421" spans="1:5" s="78" customFormat="1" ht="15" thickBot="1" x14ac:dyDescent="0.25">
      <c r="A421" s="78" t="str">
        <f>IF(Data!E491="","",Data!E491)</f>
        <v/>
      </c>
      <c r="B421" s="1" t="str">
        <f>IF(NOT(OR(AND(ISNUMBER(A421),A421&gt;=0),A421="")),C421,"")</f>
        <v/>
      </c>
      <c r="C421" s="78">
        <f t="shared" si="10"/>
        <v>420</v>
      </c>
      <c r="D421" s="78">
        <f>Data!C491</f>
        <v>229</v>
      </c>
      <c r="E421" s="78" t="s">
        <v>858</v>
      </c>
    </row>
    <row r="422" spans="1:5" x14ac:dyDescent="0.2">
      <c r="A422" s="324">
        <f>IF(Data!E494="","",Data!E494)</f>
        <v>10</v>
      </c>
      <c r="B422" s="1" t="str">
        <f>IF(A422="",C422,"")</f>
        <v/>
      </c>
      <c r="C422" s="17">
        <f t="shared" si="10"/>
        <v>421</v>
      </c>
      <c r="D422" s="4">
        <f>Data!C494</f>
        <v>230</v>
      </c>
      <c r="E422" s="324" t="s">
        <v>859</v>
      </c>
    </row>
    <row r="423" spans="1:5" x14ac:dyDescent="0.2">
      <c r="A423" s="324">
        <f>IF(Data!E494="","",Data!E494)</f>
        <v>10</v>
      </c>
      <c r="B423" s="1" t="str">
        <f>IF(NOT(OR(AND(ISNUMBER(A423),A423&gt;=0),A423="")),C423,"")</f>
        <v/>
      </c>
      <c r="C423" s="17">
        <f t="shared" si="10"/>
        <v>422</v>
      </c>
      <c r="D423" s="4">
        <f>Data!C494</f>
        <v>230</v>
      </c>
      <c r="E423" s="324" t="s">
        <v>858</v>
      </c>
    </row>
    <row r="424" spans="1:5" x14ac:dyDescent="0.2">
      <c r="A424" s="324">
        <f>IF(Data!G497="","",Data!G497)</f>
        <v>2</v>
      </c>
      <c r="B424" s="367" t="str">
        <f t="shared" ref="B424:B433" si="11">IF(A424&lt;=1,C424,"")</f>
        <v/>
      </c>
      <c r="C424" s="17">
        <f t="shared" si="10"/>
        <v>423</v>
      </c>
      <c r="D424" s="4">
        <f>Data!C497</f>
        <v>231</v>
      </c>
      <c r="E424" s="324" t="s">
        <v>861</v>
      </c>
    </row>
    <row r="425" spans="1:5" x14ac:dyDescent="0.2">
      <c r="A425" s="324">
        <f>IF(Data!G503="","",Data!G503)</f>
        <v>3</v>
      </c>
      <c r="B425" s="367" t="str">
        <f t="shared" si="11"/>
        <v/>
      </c>
      <c r="C425" s="17">
        <f t="shared" si="10"/>
        <v>424</v>
      </c>
      <c r="D425" s="4">
        <f>Data!C503</f>
        <v>232</v>
      </c>
      <c r="E425" s="324" t="s">
        <v>861</v>
      </c>
    </row>
    <row r="426" spans="1:5" x14ac:dyDescent="0.2">
      <c r="A426" s="324">
        <f>IF(Data!G509="","",Data!G509)</f>
        <v>3</v>
      </c>
      <c r="B426" s="367" t="str">
        <f t="shared" si="11"/>
        <v/>
      </c>
      <c r="C426" s="17">
        <f t="shared" si="10"/>
        <v>425</v>
      </c>
      <c r="D426" s="4">
        <f>Data!C509</f>
        <v>233</v>
      </c>
      <c r="E426" s="324" t="s">
        <v>861</v>
      </c>
    </row>
    <row r="427" spans="1:5" x14ac:dyDescent="0.2">
      <c r="A427" s="324">
        <f>IF(Data!G517="","",Data!G517)</f>
        <v>1</v>
      </c>
      <c r="B427" s="367">
        <f t="shared" si="11"/>
        <v>426</v>
      </c>
      <c r="C427" s="17">
        <f t="shared" si="10"/>
        <v>426</v>
      </c>
      <c r="D427" s="4">
        <f>Data!C517</f>
        <v>234</v>
      </c>
      <c r="E427" s="324" t="s">
        <v>861</v>
      </c>
    </row>
    <row r="428" spans="1:5" s="5" customFormat="1" x14ac:dyDescent="0.2">
      <c r="A428" s="324">
        <f>IF(Data!G523="","",Data!G523)</f>
        <v>1</v>
      </c>
      <c r="B428" s="367">
        <f t="shared" si="11"/>
        <v>427</v>
      </c>
      <c r="C428" s="17">
        <f t="shared" si="10"/>
        <v>427</v>
      </c>
      <c r="D428" s="5">
        <f>Data!C523</f>
        <v>235</v>
      </c>
      <c r="E428" s="324" t="s">
        <v>861</v>
      </c>
    </row>
    <row r="429" spans="1:5" x14ac:dyDescent="0.2">
      <c r="A429" s="324">
        <f>IF(Data!G529="","",Data!G529)</f>
        <v>1</v>
      </c>
      <c r="B429" s="367">
        <f t="shared" si="11"/>
        <v>428</v>
      </c>
      <c r="C429" s="17">
        <f t="shared" si="10"/>
        <v>428</v>
      </c>
      <c r="D429" s="4">
        <f>Data!C529</f>
        <v>236</v>
      </c>
      <c r="E429" s="324" t="s">
        <v>861</v>
      </c>
    </row>
    <row r="430" spans="1:5" s="77" customFormat="1" x14ac:dyDescent="0.2">
      <c r="A430" s="324">
        <f>IF(Data!G535="","",Data!G535)</f>
        <v>1</v>
      </c>
      <c r="B430" s="367">
        <f t="shared" si="11"/>
        <v>429</v>
      </c>
      <c r="C430" s="77">
        <f t="shared" si="10"/>
        <v>429</v>
      </c>
      <c r="D430" s="77">
        <f>Data!C535</f>
        <v>237</v>
      </c>
      <c r="E430" s="324" t="s">
        <v>861</v>
      </c>
    </row>
    <row r="431" spans="1:5" x14ac:dyDescent="0.2">
      <c r="A431" s="324">
        <f>IF(Data!G541="","",Data!G541)</f>
        <v>1</v>
      </c>
      <c r="B431" s="367">
        <f t="shared" si="11"/>
        <v>430</v>
      </c>
      <c r="C431" s="77">
        <f t="shared" si="10"/>
        <v>430</v>
      </c>
      <c r="D431" s="4">
        <f>Data!C541</f>
        <v>238</v>
      </c>
      <c r="E431" s="324" t="s">
        <v>861</v>
      </c>
    </row>
    <row r="432" spans="1:5" x14ac:dyDescent="0.2">
      <c r="A432" s="324">
        <f>IF(Data!G547="","",Data!G547)</f>
        <v>1</v>
      </c>
      <c r="B432" s="367">
        <f t="shared" si="11"/>
        <v>431</v>
      </c>
      <c r="C432" s="17">
        <f t="shared" si="10"/>
        <v>431</v>
      </c>
      <c r="D432" s="4">
        <f>Data!C547</f>
        <v>239</v>
      </c>
      <c r="E432" s="324" t="s">
        <v>861</v>
      </c>
    </row>
    <row r="433" spans="1:5" s="78" customFormat="1" ht="15" thickBot="1" x14ac:dyDescent="0.25">
      <c r="A433" s="78">
        <f>IF(Data!G553="","",Data!G553)</f>
        <v>1</v>
      </c>
      <c r="B433" s="367">
        <f t="shared" si="11"/>
        <v>432</v>
      </c>
      <c r="C433" s="78">
        <f t="shared" si="10"/>
        <v>432</v>
      </c>
      <c r="D433" s="78">
        <f>Data!C553</f>
        <v>240</v>
      </c>
      <c r="E433" s="78" t="s">
        <v>861</v>
      </c>
    </row>
    <row r="434" spans="1:5" x14ac:dyDescent="0.2">
      <c r="A434" s="324">
        <f>IF(Data!E560="","",Data!E560)</f>
        <v>20</v>
      </c>
      <c r="B434" s="1" t="str">
        <f>IF(A434="",C434,"")</f>
        <v/>
      </c>
      <c r="C434" s="17">
        <f t="shared" si="10"/>
        <v>433</v>
      </c>
      <c r="D434" s="4">
        <f>Data!C560</f>
        <v>241</v>
      </c>
      <c r="E434" s="324" t="s">
        <v>859</v>
      </c>
    </row>
    <row r="435" spans="1:5" x14ac:dyDescent="0.2">
      <c r="A435" s="324">
        <f>IF(Data!E560="","",Data!E560)</f>
        <v>20</v>
      </c>
      <c r="B435" s="1" t="str">
        <f>IF(NOT(OR(AND(ISNUMBER(A435),A435&gt;=0),A435="")),C435,"")</f>
        <v/>
      </c>
      <c r="C435" s="17">
        <f t="shared" si="10"/>
        <v>434</v>
      </c>
      <c r="D435" s="4">
        <f>Data!C560</f>
        <v>241</v>
      </c>
      <c r="E435" s="324" t="s">
        <v>858</v>
      </c>
    </row>
    <row r="436" spans="1:5" x14ac:dyDescent="0.2">
      <c r="A436" s="324">
        <f>IF(Data!E561="","",Data!E561)</f>
        <v>10</v>
      </c>
      <c r="B436" s="1" t="str">
        <f>IF(A436="",C436,"")</f>
        <v/>
      </c>
      <c r="C436" s="17">
        <f t="shared" si="10"/>
        <v>435</v>
      </c>
      <c r="D436" s="4">
        <f>Data!C561</f>
        <v>242</v>
      </c>
      <c r="E436" s="324" t="s">
        <v>859</v>
      </c>
    </row>
    <row r="437" spans="1:5" s="78" customFormat="1" ht="15" thickBot="1" x14ac:dyDescent="0.25">
      <c r="A437" s="324">
        <f>IF(Data!E561="","",Data!E561)</f>
        <v>10</v>
      </c>
      <c r="B437" s="1" t="str">
        <f>IF(AND(OR(A16&lt;0,A16&gt;100),NOT(A16="")),C16,"")</f>
        <v/>
      </c>
      <c r="C437" s="78">
        <f t="shared" si="10"/>
        <v>436</v>
      </c>
      <c r="D437" s="78">
        <f>Data!C561</f>
        <v>242</v>
      </c>
      <c r="E437" s="78" t="s">
        <v>224</v>
      </c>
    </row>
    <row r="438" spans="1:5" x14ac:dyDescent="0.2">
      <c r="C438" s="17">
        <f t="shared" si="10"/>
        <v>437</v>
      </c>
    </row>
    <row r="439" spans="1:5" x14ac:dyDescent="0.2">
      <c r="C439" s="17">
        <f t="shared" si="10"/>
        <v>438</v>
      </c>
    </row>
    <row r="440" spans="1:5" x14ac:dyDescent="0.2">
      <c r="C440" s="17">
        <f t="shared" si="10"/>
        <v>439</v>
      </c>
    </row>
    <row r="441" spans="1:5" x14ac:dyDescent="0.2">
      <c r="C441" s="17">
        <f t="shared" si="10"/>
        <v>440</v>
      </c>
    </row>
    <row r="442" spans="1:5" x14ac:dyDescent="0.2">
      <c r="C442" s="17">
        <f t="shared" si="10"/>
        <v>441</v>
      </c>
    </row>
    <row r="443" spans="1:5" x14ac:dyDescent="0.2">
      <c r="C443" s="17">
        <f t="shared" si="10"/>
        <v>442</v>
      </c>
    </row>
    <row r="444" spans="1:5" x14ac:dyDescent="0.2">
      <c r="C444" s="17">
        <f t="shared" si="10"/>
        <v>443</v>
      </c>
    </row>
    <row r="445" spans="1:5" x14ac:dyDescent="0.2">
      <c r="C445" s="17">
        <f t="shared" si="10"/>
        <v>444</v>
      </c>
    </row>
    <row r="446" spans="1:5" x14ac:dyDescent="0.2">
      <c r="C446" s="17">
        <f t="shared" si="10"/>
        <v>445</v>
      </c>
    </row>
    <row r="447" spans="1:5" x14ac:dyDescent="0.2">
      <c r="C447" s="17">
        <f t="shared" si="10"/>
        <v>446</v>
      </c>
    </row>
    <row r="448" spans="1:5" x14ac:dyDescent="0.2">
      <c r="C448" s="17">
        <f t="shared" si="10"/>
        <v>447</v>
      </c>
    </row>
    <row r="449" spans="3:3" x14ac:dyDescent="0.2">
      <c r="C449" s="17">
        <f t="shared" si="10"/>
        <v>448</v>
      </c>
    </row>
    <row r="450" spans="3:3" x14ac:dyDescent="0.2">
      <c r="C450" s="17">
        <f t="shared" si="10"/>
        <v>449</v>
      </c>
    </row>
    <row r="451" spans="3:3" x14ac:dyDescent="0.2">
      <c r="C451" s="17">
        <f t="shared" si="10"/>
        <v>450</v>
      </c>
    </row>
    <row r="452" spans="3:3" x14ac:dyDescent="0.2">
      <c r="C452" s="17">
        <f t="shared" si="10"/>
        <v>451</v>
      </c>
    </row>
    <row r="453" spans="3:3" x14ac:dyDescent="0.2">
      <c r="C453" s="17">
        <f t="shared" si="10"/>
        <v>452</v>
      </c>
    </row>
    <row r="454" spans="3:3" x14ac:dyDescent="0.2">
      <c r="C454" s="17">
        <f t="shared" si="10"/>
        <v>453</v>
      </c>
    </row>
    <row r="455" spans="3:3" x14ac:dyDescent="0.2">
      <c r="C455" s="17">
        <f t="shared" ref="C455:C518" si="12">C454+1</f>
        <v>454</v>
      </c>
    </row>
    <row r="456" spans="3:3" x14ac:dyDescent="0.2">
      <c r="C456" s="17">
        <f t="shared" si="12"/>
        <v>455</v>
      </c>
    </row>
    <row r="457" spans="3:3" x14ac:dyDescent="0.2">
      <c r="C457" s="17">
        <f t="shared" si="12"/>
        <v>456</v>
      </c>
    </row>
    <row r="458" spans="3:3" x14ac:dyDescent="0.2">
      <c r="C458" s="17">
        <f t="shared" si="12"/>
        <v>457</v>
      </c>
    </row>
    <row r="459" spans="3:3" x14ac:dyDescent="0.2">
      <c r="C459" s="17">
        <f t="shared" si="12"/>
        <v>458</v>
      </c>
    </row>
    <row r="460" spans="3:3" x14ac:dyDescent="0.2">
      <c r="C460" s="17">
        <f t="shared" si="12"/>
        <v>459</v>
      </c>
    </row>
    <row r="461" spans="3:3" x14ac:dyDescent="0.2">
      <c r="C461" s="17">
        <f t="shared" si="12"/>
        <v>460</v>
      </c>
    </row>
    <row r="462" spans="3:3" x14ac:dyDescent="0.2">
      <c r="C462" s="17">
        <f t="shared" si="12"/>
        <v>461</v>
      </c>
    </row>
    <row r="463" spans="3:3" x14ac:dyDescent="0.2">
      <c r="C463" s="17">
        <f t="shared" si="12"/>
        <v>462</v>
      </c>
    </row>
    <row r="464" spans="3:3" x14ac:dyDescent="0.2">
      <c r="C464" s="17">
        <f t="shared" si="12"/>
        <v>463</v>
      </c>
    </row>
    <row r="465" spans="3:3" x14ac:dyDescent="0.2">
      <c r="C465" s="17">
        <f t="shared" si="12"/>
        <v>464</v>
      </c>
    </row>
    <row r="466" spans="3:3" x14ac:dyDescent="0.2">
      <c r="C466" s="17">
        <f t="shared" si="12"/>
        <v>465</v>
      </c>
    </row>
    <row r="467" spans="3:3" x14ac:dyDescent="0.2">
      <c r="C467" s="17">
        <f t="shared" si="12"/>
        <v>466</v>
      </c>
    </row>
    <row r="468" spans="3:3" x14ac:dyDescent="0.2">
      <c r="C468" s="17">
        <f t="shared" si="12"/>
        <v>467</v>
      </c>
    </row>
    <row r="469" spans="3:3" x14ac:dyDescent="0.2">
      <c r="C469" s="17">
        <f t="shared" si="12"/>
        <v>468</v>
      </c>
    </row>
    <row r="470" spans="3:3" x14ac:dyDescent="0.2">
      <c r="C470" s="17">
        <f t="shared" si="12"/>
        <v>469</v>
      </c>
    </row>
    <row r="471" spans="3:3" x14ac:dyDescent="0.2">
      <c r="C471" s="17">
        <f t="shared" si="12"/>
        <v>470</v>
      </c>
    </row>
    <row r="472" spans="3:3" x14ac:dyDescent="0.2">
      <c r="C472" s="17">
        <f t="shared" si="12"/>
        <v>471</v>
      </c>
    </row>
    <row r="473" spans="3:3" x14ac:dyDescent="0.2">
      <c r="C473" s="17">
        <f t="shared" si="12"/>
        <v>472</v>
      </c>
    </row>
    <row r="474" spans="3:3" x14ac:dyDescent="0.2">
      <c r="C474" s="17">
        <f t="shared" si="12"/>
        <v>473</v>
      </c>
    </row>
    <row r="475" spans="3:3" x14ac:dyDescent="0.2">
      <c r="C475" s="17">
        <f t="shared" si="12"/>
        <v>474</v>
      </c>
    </row>
    <row r="476" spans="3:3" x14ac:dyDescent="0.2">
      <c r="C476" s="17">
        <f t="shared" si="12"/>
        <v>475</v>
      </c>
    </row>
    <row r="477" spans="3:3" x14ac:dyDescent="0.2">
      <c r="C477" s="17">
        <f t="shared" si="12"/>
        <v>476</v>
      </c>
    </row>
    <row r="478" spans="3:3" x14ac:dyDescent="0.2">
      <c r="C478" s="17">
        <f t="shared" si="12"/>
        <v>477</v>
      </c>
    </row>
    <row r="479" spans="3:3" x14ac:dyDescent="0.2">
      <c r="C479" s="17">
        <f t="shared" si="12"/>
        <v>478</v>
      </c>
    </row>
    <row r="480" spans="3:3" x14ac:dyDescent="0.2">
      <c r="C480" s="17">
        <f t="shared" si="12"/>
        <v>479</v>
      </c>
    </row>
    <row r="481" spans="3:3" x14ac:dyDescent="0.2">
      <c r="C481" s="17">
        <f t="shared" si="12"/>
        <v>480</v>
      </c>
    </row>
    <row r="482" spans="3:3" x14ac:dyDescent="0.2">
      <c r="C482" s="17">
        <f t="shared" si="12"/>
        <v>481</v>
      </c>
    </row>
    <row r="483" spans="3:3" x14ac:dyDescent="0.2">
      <c r="C483" s="17">
        <f t="shared" si="12"/>
        <v>482</v>
      </c>
    </row>
    <row r="484" spans="3:3" x14ac:dyDescent="0.2">
      <c r="C484" s="17">
        <f t="shared" si="12"/>
        <v>483</v>
      </c>
    </row>
    <row r="485" spans="3:3" x14ac:dyDescent="0.2">
      <c r="C485" s="17">
        <f t="shared" si="12"/>
        <v>484</v>
      </c>
    </row>
    <row r="486" spans="3:3" x14ac:dyDescent="0.2">
      <c r="C486" s="17">
        <f t="shared" si="12"/>
        <v>485</v>
      </c>
    </row>
    <row r="487" spans="3:3" x14ac:dyDescent="0.2">
      <c r="C487" s="17">
        <f t="shared" si="12"/>
        <v>486</v>
      </c>
    </row>
    <row r="488" spans="3:3" x14ac:dyDescent="0.2">
      <c r="C488" s="17">
        <f t="shared" si="12"/>
        <v>487</v>
      </c>
    </row>
    <row r="489" spans="3:3" x14ac:dyDescent="0.2">
      <c r="C489" s="17">
        <f t="shared" si="12"/>
        <v>488</v>
      </c>
    </row>
    <row r="490" spans="3:3" x14ac:dyDescent="0.2">
      <c r="C490" s="17">
        <f t="shared" si="12"/>
        <v>489</v>
      </c>
    </row>
    <row r="491" spans="3:3" x14ac:dyDescent="0.2">
      <c r="C491" s="17">
        <f t="shared" si="12"/>
        <v>490</v>
      </c>
    </row>
    <row r="492" spans="3:3" x14ac:dyDescent="0.2">
      <c r="C492" s="17">
        <f t="shared" si="12"/>
        <v>491</v>
      </c>
    </row>
    <row r="493" spans="3:3" x14ac:dyDescent="0.2">
      <c r="C493" s="17">
        <f t="shared" si="12"/>
        <v>492</v>
      </c>
    </row>
    <row r="494" spans="3:3" x14ac:dyDescent="0.2">
      <c r="C494" s="17">
        <f t="shared" si="12"/>
        <v>493</v>
      </c>
    </row>
    <row r="495" spans="3:3" x14ac:dyDescent="0.2">
      <c r="C495" s="17">
        <f t="shared" si="12"/>
        <v>494</v>
      </c>
    </row>
    <row r="496" spans="3:3" x14ac:dyDescent="0.2">
      <c r="C496" s="17">
        <f t="shared" si="12"/>
        <v>495</v>
      </c>
    </row>
    <row r="497" spans="3:3" x14ac:dyDescent="0.2">
      <c r="C497" s="17">
        <f t="shared" si="12"/>
        <v>496</v>
      </c>
    </row>
    <row r="498" spans="3:3" x14ac:dyDescent="0.2">
      <c r="C498" s="17">
        <f t="shared" si="12"/>
        <v>497</v>
      </c>
    </row>
    <row r="499" spans="3:3" x14ac:dyDescent="0.2">
      <c r="C499" s="17">
        <f t="shared" si="12"/>
        <v>498</v>
      </c>
    </row>
    <row r="500" spans="3:3" x14ac:dyDescent="0.2">
      <c r="C500" s="17">
        <f t="shared" si="12"/>
        <v>499</v>
      </c>
    </row>
    <row r="501" spans="3:3" x14ac:dyDescent="0.2">
      <c r="C501" s="17">
        <f t="shared" si="12"/>
        <v>500</v>
      </c>
    </row>
    <row r="502" spans="3:3" x14ac:dyDescent="0.2">
      <c r="C502" s="17">
        <f t="shared" si="12"/>
        <v>501</v>
      </c>
    </row>
    <row r="503" spans="3:3" x14ac:dyDescent="0.2">
      <c r="C503" s="17">
        <f t="shared" si="12"/>
        <v>502</v>
      </c>
    </row>
    <row r="504" spans="3:3" x14ac:dyDescent="0.2">
      <c r="C504" s="17">
        <f t="shared" si="12"/>
        <v>503</v>
      </c>
    </row>
    <row r="505" spans="3:3" x14ac:dyDescent="0.2">
      <c r="C505" s="17">
        <f t="shared" si="12"/>
        <v>504</v>
      </c>
    </row>
    <row r="506" spans="3:3" x14ac:dyDescent="0.2">
      <c r="C506" s="17">
        <f t="shared" si="12"/>
        <v>505</v>
      </c>
    </row>
    <row r="507" spans="3:3" x14ac:dyDescent="0.2">
      <c r="C507" s="17">
        <f t="shared" si="12"/>
        <v>506</v>
      </c>
    </row>
    <row r="508" spans="3:3" x14ac:dyDescent="0.2">
      <c r="C508" s="17">
        <f t="shared" si="12"/>
        <v>507</v>
      </c>
    </row>
    <row r="509" spans="3:3" x14ac:dyDescent="0.2">
      <c r="C509" s="17">
        <f t="shared" si="12"/>
        <v>508</v>
      </c>
    </row>
    <row r="510" spans="3:3" x14ac:dyDescent="0.2">
      <c r="C510" s="17">
        <f t="shared" si="12"/>
        <v>509</v>
      </c>
    </row>
    <row r="511" spans="3:3" x14ac:dyDescent="0.2">
      <c r="C511" s="17">
        <f t="shared" si="12"/>
        <v>510</v>
      </c>
    </row>
    <row r="512" spans="3:3" x14ac:dyDescent="0.2">
      <c r="C512" s="17">
        <f t="shared" si="12"/>
        <v>511</v>
      </c>
    </row>
    <row r="513" spans="3:3" x14ac:dyDescent="0.2">
      <c r="C513" s="17">
        <f t="shared" si="12"/>
        <v>512</v>
      </c>
    </row>
    <row r="514" spans="3:3" x14ac:dyDescent="0.2">
      <c r="C514" s="17">
        <f t="shared" si="12"/>
        <v>513</v>
      </c>
    </row>
    <row r="515" spans="3:3" x14ac:dyDescent="0.2">
      <c r="C515" s="17">
        <f t="shared" si="12"/>
        <v>514</v>
      </c>
    </row>
    <row r="516" spans="3:3" x14ac:dyDescent="0.2">
      <c r="C516" s="17">
        <f t="shared" si="12"/>
        <v>515</v>
      </c>
    </row>
    <row r="517" spans="3:3" x14ac:dyDescent="0.2">
      <c r="C517" s="17">
        <f t="shared" si="12"/>
        <v>516</v>
      </c>
    </row>
    <row r="518" spans="3:3" x14ac:dyDescent="0.2">
      <c r="C518" s="17">
        <f t="shared" si="12"/>
        <v>517</v>
      </c>
    </row>
    <row r="519" spans="3:3" x14ac:dyDescent="0.2">
      <c r="C519" s="17">
        <f>C518+1</f>
        <v>518</v>
      </c>
    </row>
    <row r="520" spans="3:3" x14ac:dyDescent="0.2">
      <c r="C520" s="17">
        <f>C519+1</f>
        <v>519</v>
      </c>
    </row>
    <row r="521" spans="3:3" x14ac:dyDescent="0.2">
      <c r="C521" s="17">
        <f>C520+1</f>
        <v>520</v>
      </c>
    </row>
    <row r="522" spans="3:3" x14ac:dyDescent="0.2">
      <c r="C522" s="17">
        <f>C521+1</f>
        <v>521</v>
      </c>
    </row>
  </sheetData>
  <sortState ref="B2:E521">
    <sortCondition ref="D2:D521"/>
    <sortCondition ref="E2:E521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801"/>
  <sheetViews>
    <sheetView view="pageLayout" topLeftCell="A22" zoomScaleNormal="100" workbookViewId="0">
      <selection activeCell="B42" sqref="B42"/>
    </sheetView>
  </sheetViews>
  <sheetFormatPr defaultColWidth="9.140625" defaultRowHeight="14.25" x14ac:dyDescent="0.2"/>
  <cols>
    <col min="1" max="1" width="9.140625" style="21"/>
    <col min="2" max="2" width="15.5703125" style="67" customWidth="1"/>
    <col min="3" max="3" width="18.7109375" style="67" customWidth="1"/>
    <col min="4" max="4" width="64.85546875" style="59" customWidth="1"/>
    <col min="5" max="5" width="15.7109375" style="21" customWidth="1"/>
    <col min="6" max="16384" width="9.140625" style="21"/>
  </cols>
  <sheetData>
    <row r="1" spans="1:5" x14ac:dyDescent="0.2">
      <c r="A1" s="59"/>
      <c r="B1" s="59" t="str">
        <f>IF(B4&gt;0,"These are the current errors found on the sheet. Please correct them before viewing the DU results.","There were no errors found. Continue to Results.")</f>
        <v>These are the current errors found on the sheet. Please correct them before viewing the DU results.</v>
      </c>
    </row>
    <row r="2" spans="1:5" s="145" customFormat="1" x14ac:dyDescent="0.2">
      <c r="B2" s="67"/>
      <c r="C2" s="67"/>
      <c r="D2" s="146"/>
    </row>
    <row r="3" spans="1:5" x14ac:dyDescent="0.2">
      <c r="B3" s="67" t="s">
        <v>225</v>
      </c>
      <c r="C3" s="22" t="s">
        <v>221</v>
      </c>
      <c r="D3" s="36" t="s">
        <v>222</v>
      </c>
    </row>
    <row r="4" spans="1:5" x14ac:dyDescent="0.2">
      <c r="B4" s="67">
        <f>IF(C4&lt;&gt;"",1,"")</f>
        <v>1</v>
      </c>
      <c r="C4" s="67">
        <f>IF(ISERROR(VLOOKUP(SMALL('Error Check Table-Hidden'!B:B,ROW(C4)-ROW($C$3)),ErrorCheckTable,3,FALSE)), "",(VLOOKUP(SMALL('Error Check Table-Hidden'!B:B,ROW(C4)-ROW($C$3)),ErrorCheckTable,3,FALSE)))</f>
        <v>47</v>
      </c>
      <c r="D4" s="59" t="str">
        <f>IF(ISERROR(VLOOKUP(SMALL('Error Check Table-Hidden'!B:B,ROW(C4)-3),ErrorCheckTable,4,FALSE)), "",(VLOOKUP(SMALL('Error Check Table-Hidden'!B:B,ROW(C4)-3),ErrorCheckTable,4,FALSE)))</f>
        <v>Blank value; ignore error if intentionally blank</v>
      </c>
    </row>
    <row r="5" spans="1:5" x14ac:dyDescent="0.2">
      <c r="B5" s="67">
        <f t="shared" ref="B5:B68" si="0">IF(C5&lt;&gt;"",B4+1,"")</f>
        <v>2</v>
      </c>
      <c r="C5" s="67">
        <f>IF(ISERROR(VLOOKUP(SMALL('Error Check Table-Hidden'!B:B,ROW(C5)-ROW($C$3)),ErrorCheckTable,3,FALSE)), "",(VLOOKUP(SMALL('Error Check Table-Hidden'!B:B,ROW(C5)-ROW($C$3)),ErrorCheckTable,3,FALSE)))</f>
        <v>48</v>
      </c>
      <c r="D5" s="59" t="str">
        <f>IF(ISERROR(VLOOKUP(SMALL('Error Check Table-Hidden'!B:B,ROW(C5)-3),ErrorCheckTable,4,FALSE)), "",(VLOOKUP(SMALL('Error Check Table-Hidden'!B:B,ROW(C5)-3),ErrorCheckTable,4,FALSE)))</f>
        <v>Blank value; ignore error if intentionally blank</v>
      </c>
    </row>
    <row r="6" spans="1:5" x14ac:dyDescent="0.2">
      <c r="B6" s="67">
        <f t="shared" si="0"/>
        <v>3</v>
      </c>
      <c r="C6" s="67">
        <f>IF(ISERROR(VLOOKUP(SMALL('Error Check Table-Hidden'!B:B,ROW(C6)-ROW($C$3)),ErrorCheckTable,3,FALSE)), "",(VLOOKUP(SMALL('Error Check Table-Hidden'!B:B,ROW(C6)-ROW($C$3)),ErrorCheckTable,3,FALSE)))</f>
        <v>52</v>
      </c>
      <c r="D6" s="59" t="str">
        <f>IF(ISERROR(VLOOKUP(SMALL('Error Check Table-Hidden'!B:B,ROW(C6)-3),ErrorCheckTable,4,FALSE)), "",(VLOOKUP(SMALL('Error Check Table-Hidden'!B:B,ROW(C6)-3),ErrorCheckTable,4,FALSE)))</f>
        <v>Blank value; ignore error if intentionally blank</v>
      </c>
    </row>
    <row r="7" spans="1:5" x14ac:dyDescent="0.2">
      <c r="B7" s="67">
        <f t="shared" si="0"/>
        <v>4</v>
      </c>
      <c r="C7" s="67">
        <f>IF(ISERROR(VLOOKUP(SMALL('Error Check Table-Hidden'!B:B,ROW(C7)-ROW($C$3)),ErrorCheckTable,3,FALSE)), "",(VLOOKUP(SMALL('Error Check Table-Hidden'!B:B,ROW(C7)-ROW($C$3)),ErrorCheckTable,3,FALSE)))</f>
        <v>53</v>
      </c>
      <c r="D7" s="59" t="str">
        <f>IF(ISERROR(VLOOKUP(SMALL('Error Check Table-Hidden'!B:B,ROW(C7)-3),ErrorCheckTable,4,FALSE)), "",(VLOOKUP(SMALL('Error Check Table-Hidden'!B:B,ROW(C7)-3),ErrorCheckTable,4,FALSE)))</f>
        <v>Blank value; ignore error if intentionally blank</v>
      </c>
    </row>
    <row r="8" spans="1:5" x14ac:dyDescent="0.2">
      <c r="B8" s="67">
        <f t="shared" si="0"/>
        <v>5</v>
      </c>
      <c r="C8" s="67">
        <f>IF(ISERROR(VLOOKUP(SMALL('Error Check Table-Hidden'!B:B,ROW(C8)-ROW($C$3)),ErrorCheckTable,3,FALSE)), "",(VLOOKUP(SMALL('Error Check Table-Hidden'!B:B,ROW(C8)-ROW($C$3)),ErrorCheckTable,3,FALSE)))</f>
        <v>57</v>
      </c>
      <c r="D8" s="59" t="str">
        <f>IF(ISERROR(VLOOKUP(SMALL('Error Check Table-Hidden'!B:B,ROW(C8)-3),ErrorCheckTable,4,FALSE)), "",(VLOOKUP(SMALL('Error Check Table-Hidden'!B:B,ROW(C8)-3),ErrorCheckTable,4,FALSE)))</f>
        <v>Blank value; ignore error if intentionally blank</v>
      </c>
      <c r="E8" s="21" t="s">
        <v>236</v>
      </c>
    </row>
    <row r="9" spans="1:5" x14ac:dyDescent="0.2">
      <c r="B9" s="67">
        <f t="shared" si="0"/>
        <v>6</v>
      </c>
      <c r="C9" s="67">
        <f>IF(ISERROR(VLOOKUP(SMALL('Error Check Table-Hidden'!B:B,ROW(C9)-ROW($C$3)),ErrorCheckTable,3,FALSE)), "",(VLOOKUP(SMALL('Error Check Table-Hidden'!B:B,ROW(C9)-ROW($C$3)),ErrorCheckTable,3,FALSE)))</f>
        <v>58</v>
      </c>
      <c r="D9" s="59" t="str">
        <f>IF(ISERROR(VLOOKUP(SMALL('Error Check Table-Hidden'!B:B,ROW(C9)-3),ErrorCheckTable,4,FALSE)), "",(VLOOKUP(SMALL('Error Check Table-Hidden'!B:B,ROW(C9)-3),ErrorCheckTable,4,FALSE)))</f>
        <v>Blank value; ignore error if intentionally blank</v>
      </c>
    </row>
    <row r="10" spans="1:5" x14ac:dyDescent="0.2">
      <c r="B10" s="67">
        <f t="shared" si="0"/>
        <v>7</v>
      </c>
      <c r="C10" s="67">
        <f>IF(ISERROR(VLOOKUP(SMALL('Error Check Table-Hidden'!B:B,ROW(C10)-ROW($C$3)),ErrorCheckTable,3,FALSE)), "",(VLOOKUP(SMALL('Error Check Table-Hidden'!B:B,ROW(C10)-ROW($C$3)),ErrorCheckTable,3,FALSE)))</f>
        <v>62</v>
      </c>
      <c r="D10" s="59" t="str">
        <f>IF(ISERROR(VLOOKUP(SMALL('Error Check Table-Hidden'!B:B,ROW(C10)-3),ErrorCheckTable,4,FALSE)), "",(VLOOKUP(SMALL('Error Check Table-Hidden'!B:B,ROW(C10)-3),ErrorCheckTable,4,FALSE)))</f>
        <v>Blank value; ignore error if intentionally blank</v>
      </c>
    </row>
    <row r="11" spans="1:5" x14ac:dyDescent="0.2">
      <c r="B11" s="67">
        <f t="shared" si="0"/>
        <v>8</v>
      </c>
      <c r="C11" s="67">
        <f>IF(ISERROR(VLOOKUP(SMALL('Error Check Table-Hidden'!B:B,ROW(C11)-ROW($C$3)),ErrorCheckTable,3,FALSE)), "",(VLOOKUP(SMALL('Error Check Table-Hidden'!B:B,ROW(C11)-ROW($C$3)),ErrorCheckTable,3,FALSE)))</f>
        <v>63</v>
      </c>
      <c r="D11" s="59" t="str">
        <f>IF(ISERROR(VLOOKUP(SMALL('Error Check Table-Hidden'!B:B,ROW(C11)-3),ErrorCheckTable,4,FALSE)), "",(VLOOKUP(SMALL('Error Check Table-Hidden'!B:B,ROW(C11)-3),ErrorCheckTable,4,FALSE)))</f>
        <v>Blank value; ignore error if intentionally blank</v>
      </c>
    </row>
    <row r="12" spans="1:5" x14ac:dyDescent="0.2">
      <c r="B12" s="67">
        <f t="shared" si="0"/>
        <v>9</v>
      </c>
      <c r="C12" s="67">
        <f>IF(ISERROR(VLOOKUP(SMALL('Error Check Table-Hidden'!B:B,ROW(C12)-ROW($C$3)),ErrorCheckTable,3,FALSE)), "",(VLOOKUP(SMALL('Error Check Table-Hidden'!B:B,ROW(C12)-ROW($C$3)),ErrorCheckTable,3,FALSE)))</f>
        <v>67</v>
      </c>
      <c r="D12" s="59" t="str">
        <f>IF(ISERROR(VLOOKUP(SMALL('Error Check Table-Hidden'!B:B,ROW(C12)-3),ErrorCheckTable,4,FALSE)), "",(VLOOKUP(SMALL('Error Check Table-Hidden'!B:B,ROW(C12)-3),ErrorCheckTable,4,FALSE)))</f>
        <v>Blank value; ignore error if intentionally blank</v>
      </c>
    </row>
    <row r="13" spans="1:5" x14ac:dyDescent="0.2">
      <c r="B13" s="67">
        <f t="shared" si="0"/>
        <v>10</v>
      </c>
      <c r="C13" s="67">
        <f>IF(ISERROR(VLOOKUP(SMALL('Error Check Table-Hidden'!B:B,ROW(C13)-ROW($C$3)),ErrorCheckTable,3,FALSE)), "",(VLOOKUP(SMALL('Error Check Table-Hidden'!B:B,ROW(C13)-ROW($C$3)),ErrorCheckTable,3,FALSE)))</f>
        <v>68</v>
      </c>
      <c r="D13" s="59" t="str">
        <f>IF(ISERROR(VLOOKUP(SMALL('Error Check Table-Hidden'!B:B,ROW(C13)-3),ErrorCheckTable,4,FALSE)), "",(VLOOKUP(SMALL('Error Check Table-Hidden'!B:B,ROW(C13)-3),ErrorCheckTable,4,FALSE)))</f>
        <v>Blank value; ignore error if intentionally blank</v>
      </c>
    </row>
    <row r="14" spans="1:5" x14ac:dyDescent="0.2">
      <c r="B14" s="67">
        <f t="shared" si="0"/>
        <v>11</v>
      </c>
      <c r="C14" s="67">
        <f>IF(ISERROR(VLOOKUP(SMALL('Error Check Table-Hidden'!B:B,ROW(C14)-ROW($C$3)),ErrorCheckTable,3,FALSE)), "",(VLOOKUP(SMALL('Error Check Table-Hidden'!B:B,ROW(C14)-ROW($C$3)),ErrorCheckTable,3,FALSE)))</f>
        <v>72</v>
      </c>
      <c r="D14" s="59" t="str">
        <f>IF(ISERROR(VLOOKUP(SMALL('Error Check Table-Hidden'!B:B,ROW(C14)-3),ErrorCheckTable,4,FALSE)), "",(VLOOKUP(SMALL('Error Check Table-Hidden'!B:B,ROW(C14)-3),ErrorCheckTable,4,FALSE)))</f>
        <v>Blank value; ignore error if intentionally blank</v>
      </c>
    </row>
    <row r="15" spans="1:5" x14ac:dyDescent="0.2">
      <c r="B15" s="67">
        <f t="shared" si="0"/>
        <v>12</v>
      </c>
      <c r="C15" s="67">
        <f>IF(ISERROR(VLOOKUP(SMALL('Error Check Table-Hidden'!B:B,ROW(C15)-ROW($C$3)),ErrorCheckTable,3,FALSE)), "",(VLOOKUP(SMALL('Error Check Table-Hidden'!B:B,ROW(C15)-ROW($C$3)),ErrorCheckTable,3,FALSE)))</f>
        <v>73</v>
      </c>
      <c r="D15" s="59" t="str">
        <f>IF(ISERROR(VLOOKUP(SMALL('Error Check Table-Hidden'!B:B,ROW(C15)-3),ErrorCheckTable,4,FALSE)), "",(VLOOKUP(SMALL('Error Check Table-Hidden'!B:B,ROW(C15)-3),ErrorCheckTable,4,FALSE)))</f>
        <v>Blank value; ignore error if intentionally blank</v>
      </c>
    </row>
    <row r="16" spans="1:5" x14ac:dyDescent="0.2">
      <c r="B16" s="67">
        <f t="shared" si="0"/>
        <v>13</v>
      </c>
      <c r="C16" s="67">
        <f>IF(ISERROR(VLOOKUP(SMALL('Error Check Table-Hidden'!B:B,ROW(C16)-ROW($C$3)),ErrorCheckTable,3,FALSE)), "",(VLOOKUP(SMALL('Error Check Table-Hidden'!B:B,ROW(C16)-ROW($C$3)),ErrorCheckTable,3,FALSE)))</f>
        <v>77</v>
      </c>
      <c r="D16" s="59" t="str">
        <f>IF(ISERROR(VLOOKUP(SMALL('Error Check Table-Hidden'!B:B,ROW(C16)-3),ErrorCheckTable,4,FALSE)), "",(VLOOKUP(SMALL('Error Check Table-Hidden'!B:B,ROW(C16)-3),ErrorCheckTable,4,FALSE)))</f>
        <v>Blank value; ignore error if intentionally blank</v>
      </c>
    </row>
    <row r="17" spans="2:4" x14ac:dyDescent="0.2">
      <c r="B17" s="67">
        <f t="shared" si="0"/>
        <v>14</v>
      </c>
      <c r="C17" s="67">
        <f>IF(ISERROR(VLOOKUP(SMALL('Error Check Table-Hidden'!B:B,ROW(C17)-ROW($C$3)),ErrorCheckTable,3,FALSE)), "",(VLOOKUP(SMALL('Error Check Table-Hidden'!B:B,ROW(C17)-ROW($C$3)),ErrorCheckTable,3,FALSE)))</f>
        <v>78</v>
      </c>
      <c r="D17" s="59" t="str">
        <f>IF(ISERROR(VLOOKUP(SMALL('Error Check Table-Hidden'!B:B,ROW(C17)-3),ErrorCheckTable,4,FALSE)), "",(VLOOKUP(SMALL('Error Check Table-Hidden'!B:B,ROW(C17)-3),ErrorCheckTable,4,FALSE)))</f>
        <v>Blank value; ignore error if intentionally blank</v>
      </c>
    </row>
    <row r="18" spans="2:4" x14ac:dyDescent="0.2">
      <c r="B18" s="67">
        <f t="shared" si="0"/>
        <v>15</v>
      </c>
      <c r="C18" s="67">
        <f>IF(ISERROR(VLOOKUP(SMALL('Error Check Table-Hidden'!B:B,ROW(C18)-ROW($C$3)),ErrorCheckTable,3,FALSE)), "",(VLOOKUP(SMALL('Error Check Table-Hidden'!B:B,ROW(C18)-ROW($C$3)),ErrorCheckTable,3,FALSE)))</f>
        <v>82</v>
      </c>
      <c r="D18" s="59" t="str">
        <f>IF(ISERROR(VLOOKUP(SMALL('Error Check Table-Hidden'!B:B,ROW(C18)-3),ErrorCheckTable,4,FALSE)), "",(VLOOKUP(SMALL('Error Check Table-Hidden'!B:B,ROW(C18)-3),ErrorCheckTable,4,FALSE)))</f>
        <v>Blank value; ignore error if intentionally blank</v>
      </c>
    </row>
    <row r="19" spans="2:4" x14ac:dyDescent="0.2">
      <c r="B19" s="67">
        <f t="shared" si="0"/>
        <v>16</v>
      </c>
      <c r="C19" s="67">
        <f>IF(ISERROR(VLOOKUP(SMALL('Error Check Table-Hidden'!B:B,ROW(C19)-ROW($C$3)),ErrorCheckTable,3,FALSE)), "",(VLOOKUP(SMALL('Error Check Table-Hidden'!B:B,ROW(C19)-ROW($C$3)),ErrorCheckTable,3,FALSE)))</f>
        <v>83</v>
      </c>
      <c r="D19" s="59" t="str">
        <f>IF(ISERROR(VLOOKUP(SMALL('Error Check Table-Hidden'!B:B,ROW(C19)-3),ErrorCheckTable,4,FALSE)), "",(VLOOKUP(SMALL('Error Check Table-Hidden'!B:B,ROW(C19)-3),ErrorCheckTable,4,FALSE)))</f>
        <v>Blank value; ignore error if intentionally blank</v>
      </c>
    </row>
    <row r="20" spans="2:4" x14ac:dyDescent="0.2">
      <c r="B20" s="67">
        <f t="shared" si="0"/>
        <v>17</v>
      </c>
      <c r="C20" s="67">
        <f>IF(ISERROR(VLOOKUP(SMALL('Error Check Table-Hidden'!B:B,ROW(C20)-ROW($C$3)),ErrorCheckTable,3,FALSE)), "",(VLOOKUP(SMALL('Error Check Table-Hidden'!B:B,ROW(C20)-ROW($C$3)),ErrorCheckTable,3,FALSE)))</f>
        <v>87</v>
      </c>
      <c r="D20" s="59" t="str">
        <f>IF(ISERROR(VLOOKUP(SMALL('Error Check Table-Hidden'!B:B,ROW(C20)-3),ErrorCheckTable,4,FALSE)), "",(VLOOKUP(SMALL('Error Check Table-Hidden'!B:B,ROW(C20)-3),ErrorCheckTable,4,FALSE)))</f>
        <v>Blank value; ignore error if intentionally blank</v>
      </c>
    </row>
    <row r="21" spans="2:4" x14ac:dyDescent="0.2">
      <c r="B21" s="67">
        <f t="shared" si="0"/>
        <v>18</v>
      </c>
      <c r="C21" s="67">
        <f>IF(ISERROR(VLOOKUP(SMALL('Error Check Table-Hidden'!B:B,ROW(C21)-ROW($C$3)),ErrorCheckTable,3,FALSE)), "",(VLOOKUP(SMALL('Error Check Table-Hidden'!B:B,ROW(C21)-ROW($C$3)),ErrorCheckTable,3,FALSE)))</f>
        <v>88</v>
      </c>
      <c r="D21" s="59" t="str">
        <f>IF(ISERROR(VLOOKUP(SMALL('Error Check Table-Hidden'!B:B,ROW(C21)-3),ErrorCheckTable,4,FALSE)), "",(VLOOKUP(SMALL('Error Check Table-Hidden'!B:B,ROW(C21)-3),ErrorCheckTable,4,FALSE)))</f>
        <v>Blank value; ignore error if intentionally blank</v>
      </c>
    </row>
    <row r="22" spans="2:4" x14ac:dyDescent="0.2">
      <c r="B22" s="67">
        <f t="shared" si="0"/>
        <v>19</v>
      </c>
      <c r="C22" s="67">
        <f>IF(ISERROR(VLOOKUP(SMALL('Error Check Table-Hidden'!B:B,ROW(C22)-ROW($C$3)),ErrorCheckTable,3,FALSE)), "",(VLOOKUP(SMALL('Error Check Table-Hidden'!B:B,ROW(C22)-ROW($C$3)),ErrorCheckTable,3,FALSE)))</f>
        <v>92</v>
      </c>
      <c r="D22" s="59" t="str">
        <f>IF(ISERROR(VLOOKUP(SMALL('Error Check Table-Hidden'!B:B,ROW(C22)-3),ErrorCheckTable,4,FALSE)), "",(VLOOKUP(SMALL('Error Check Table-Hidden'!B:B,ROW(C22)-3),ErrorCheckTable,4,FALSE)))</f>
        <v>Blank value; ignore error if intentionally blank</v>
      </c>
    </row>
    <row r="23" spans="2:4" x14ac:dyDescent="0.2">
      <c r="B23" s="67">
        <f t="shared" si="0"/>
        <v>20</v>
      </c>
      <c r="C23" s="67">
        <f>IF(ISERROR(VLOOKUP(SMALL('Error Check Table-Hidden'!B:B,ROW(C23)-ROW($C$3)),ErrorCheckTable,3,FALSE)), "",(VLOOKUP(SMALL('Error Check Table-Hidden'!B:B,ROW(C23)-ROW($C$3)),ErrorCheckTable,3,FALSE)))</f>
        <v>93</v>
      </c>
      <c r="D23" s="59" t="str">
        <f>IF(ISERROR(VLOOKUP(SMALL('Error Check Table-Hidden'!B:B,ROW(C23)-3),ErrorCheckTable,4,FALSE)), "",(VLOOKUP(SMALL('Error Check Table-Hidden'!B:B,ROW(C23)-3),ErrorCheckTable,4,FALSE)))</f>
        <v>Blank value; ignore error if intentionally blank</v>
      </c>
    </row>
    <row r="24" spans="2:4" x14ac:dyDescent="0.2">
      <c r="B24" s="67">
        <f t="shared" si="0"/>
        <v>21</v>
      </c>
      <c r="C24" s="67">
        <f>IF(ISERROR(VLOOKUP(SMALL('Error Check Table-Hidden'!B:B,ROW(C24)-ROW($C$3)),ErrorCheckTable,3,FALSE)), "",(VLOOKUP(SMALL('Error Check Table-Hidden'!B:B,ROW(C24)-ROW($C$3)),ErrorCheckTable,3,FALSE)))</f>
        <v>97</v>
      </c>
      <c r="D24" s="59" t="str">
        <f>IF(ISERROR(VLOOKUP(SMALL('Error Check Table-Hidden'!B:B,ROW(C24)-3),ErrorCheckTable,4,FALSE)), "",(VLOOKUP(SMALL('Error Check Table-Hidden'!B:B,ROW(C24)-3),ErrorCheckTable,4,FALSE)))</f>
        <v>Blank value; ignore error if intentionally blank</v>
      </c>
    </row>
    <row r="25" spans="2:4" x14ac:dyDescent="0.2">
      <c r="B25" s="67">
        <f t="shared" si="0"/>
        <v>22</v>
      </c>
      <c r="C25" s="67">
        <f>IF(ISERROR(VLOOKUP(SMALL('Error Check Table-Hidden'!B:B,ROW(C25)-ROW($C$3)),ErrorCheckTable,3,FALSE)), "",(VLOOKUP(SMALL('Error Check Table-Hidden'!B:B,ROW(C25)-ROW($C$3)),ErrorCheckTable,3,FALSE)))</f>
        <v>98</v>
      </c>
      <c r="D25" s="59" t="str">
        <f>IF(ISERROR(VLOOKUP(SMALL('Error Check Table-Hidden'!B:B,ROW(C25)-3),ErrorCheckTable,4,FALSE)), "",(VLOOKUP(SMALL('Error Check Table-Hidden'!B:B,ROW(C25)-3),ErrorCheckTable,4,FALSE)))</f>
        <v>Blank value; ignore error if intentionally blank</v>
      </c>
    </row>
    <row r="26" spans="2:4" x14ac:dyDescent="0.2">
      <c r="B26" s="67">
        <f t="shared" si="0"/>
        <v>23</v>
      </c>
      <c r="C26" s="67">
        <f>IF(ISERROR(VLOOKUP(SMALL('Error Check Table-Hidden'!B:B,ROW(C26)-ROW($C$3)),ErrorCheckTable,3,FALSE)), "",(VLOOKUP(SMALL('Error Check Table-Hidden'!B:B,ROW(C26)-ROW($C$3)),ErrorCheckTable,3,FALSE)))</f>
        <v>102</v>
      </c>
      <c r="D26" s="59" t="str">
        <f>IF(ISERROR(VLOOKUP(SMALL('Error Check Table-Hidden'!B:B,ROW(C26)-3),ErrorCheckTable,4,FALSE)), "",(VLOOKUP(SMALL('Error Check Table-Hidden'!B:B,ROW(C26)-3),ErrorCheckTable,4,FALSE)))</f>
        <v>Blank value; ignore error if intentionally blank</v>
      </c>
    </row>
    <row r="27" spans="2:4" x14ac:dyDescent="0.2">
      <c r="B27" s="67">
        <f t="shared" si="0"/>
        <v>24</v>
      </c>
      <c r="C27" s="67">
        <f>IF(ISERROR(VLOOKUP(SMALL('Error Check Table-Hidden'!B:B,ROW(C27)-ROW($C$3)),ErrorCheckTable,3,FALSE)), "",(VLOOKUP(SMALL('Error Check Table-Hidden'!B:B,ROW(C27)-ROW($C$3)),ErrorCheckTable,3,FALSE)))</f>
        <v>103</v>
      </c>
      <c r="D27" s="59" t="str">
        <f>IF(ISERROR(VLOOKUP(SMALL('Error Check Table-Hidden'!B:B,ROW(C27)-3),ErrorCheckTable,4,FALSE)), "",(VLOOKUP(SMALL('Error Check Table-Hidden'!B:B,ROW(C27)-3),ErrorCheckTable,4,FALSE)))</f>
        <v>Blank value; ignore error if intentionally blank</v>
      </c>
    </row>
    <row r="28" spans="2:4" x14ac:dyDescent="0.2">
      <c r="B28" s="67">
        <f t="shared" si="0"/>
        <v>25</v>
      </c>
      <c r="C28" s="67">
        <f>IF(ISERROR(VLOOKUP(SMALL('Error Check Table-Hidden'!B:B,ROW(C28)-ROW($C$3)),ErrorCheckTable,3,FALSE)), "",(VLOOKUP(SMALL('Error Check Table-Hidden'!B:B,ROW(C28)-ROW($C$3)),ErrorCheckTable,3,FALSE)))</f>
        <v>106</v>
      </c>
      <c r="D28" s="59" t="str">
        <f>IF(ISERROR(VLOOKUP(SMALL('Error Check Table-Hidden'!B:B,ROW(C28)-3),ErrorCheckTable,4,FALSE)), "",(VLOOKUP(SMALL('Error Check Table-Hidden'!B:B,ROW(C28)-3),ErrorCheckTable,4,FALSE)))</f>
        <v>Blank value</v>
      </c>
    </row>
    <row r="29" spans="2:4" x14ac:dyDescent="0.2">
      <c r="B29" s="67">
        <f t="shared" si="0"/>
        <v>26</v>
      </c>
      <c r="C29" s="67">
        <f>IF(ISERROR(VLOOKUP(SMALL('Error Check Table-Hidden'!B:B,ROW(C29)-ROW($C$3)),ErrorCheckTable,3,FALSE)), "",(VLOOKUP(SMALL('Error Check Table-Hidden'!B:B,ROW(C29)-ROW($C$3)),ErrorCheckTable,3,FALSE)))</f>
        <v>107</v>
      </c>
      <c r="D29" s="59" t="str">
        <f>IF(ISERROR(VLOOKUP(SMALL('Error Check Table-Hidden'!B:B,ROW(C29)-3),ErrorCheckTable,4,FALSE)), "",(VLOOKUP(SMALL('Error Check Table-Hidden'!B:B,ROW(C29)-3),ErrorCheckTable,4,FALSE)))</f>
        <v>Blank value</v>
      </c>
    </row>
    <row r="30" spans="2:4" x14ac:dyDescent="0.2">
      <c r="B30" s="67">
        <f t="shared" si="0"/>
        <v>27</v>
      </c>
      <c r="C30" s="67">
        <f>IF(ISERROR(VLOOKUP(SMALL('Error Check Table-Hidden'!B:B,ROW(C30)-ROW($C$3)),ErrorCheckTable,3,FALSE)), "",(VLOOKUP(SMALL('Error Check Table-Hidden'!B:B,ROW(C30)-ROW($C$3)),ErrorCheckTable,3,FALSE)))</f>
        <v>108</v>
      </c>
      <c r="D30" s="59" t="str">
        <f>IF(ISERROR(VLOOKUP(SMALL('Error Check Table-Hidden'!B:B,ROW(C30)-3),ErrorCheckTable,4,FALSE)), "",(VLOOKUP(SMALL('Error Check Table-Hidden'!B:B,ROW(C30)-3),ErrorCheckTable,4,FALSE)))</f>
        <v>Blank value</v>
      </c>
    </row>
    <row r="31" spans="2:4" x14ac:dyDescent="0.2">
      <c r="B31" s="67">
        <f t="shared" si="0"/>
        <v>28</v>
      </c>
      <c r="C31" s="67">
        <f>IF(ISERROR(VLOOKUP(SMALL('Error Check Table-Hidden'!B:B,ROW(C31)-ROW($C$3)),ErrorCheckTable,3,FALSE)), "",(VLOOKUP(SMALL('Error Check Table-Hidden'!B:B,ROW(C31)-ROW($C$3)),ErrorCheckTable,3,FALSE)))</f>
        <v>109</v>
      </c>
      <c r="D31" s="59" t="str">
        <f>IF(ISERROR(VLOOKUP(SMALL('Error Check Table-Hidden'!B:B,ROW(C31)-3),ErrorCheckTable,4,FALSE)), "",(VLOOKUP(SMALL('Error Check Table-Hidden'!B:B,ROW(C31)-3),ErrorCheckTable,4,FALSE)))</f>
        <v>Blank value</v>
      </c>
    </row>
    <row r="32" spans="2:4" x14ac:dyDescent="0.2">
      <c r="B32" s="67">
        <f t="shared" si="0"/>
        <v>29</v>
      </c>
      <c r="C32" s="67">
        <f>IF(ISERROR(VLOOKUP(SMALL('Error Check Table-Hidden'!B:B,ROW(C32)-ROW($C$3)),ErrorCheckTable,3,FALSE)), "",(VLOOKUP(SMALL('Error Check Table-Hidden'!B:B,ROW(C32)-ROW($C$3)),ErrorCheckTable,3,FALSE)))</f>
        <v>110</v>
      </c>
      <c r="D32" s="59" t="str">
        <f>IF(ISERROR(VLOOKUP(SMALL('Error Check Table-Hidden'!B:B,ROW(C32)-3),ErrorCheckTable,4,FALSE)), "",(VLOOKUP(SMALL('Error Check Table-Hidden'!B:B,ROW(C32)-3),ErrorCheckTable,4,FALSE)))</f>
        <v>Blank value</v>
      </c>
    </row>
    <row r="33" spans="2:4" x14ac:dyDescent="0.2">
      <c r="B33" s="67">
        <f t="shared" si="0"/>
        <v>30</v>
      </c>
      <c r="C33" s="67">
        <f>IF(ISERROR(VLOOKUP(SMALL('Error Check Table-Hidden'!B:B,ROW(C33)-ROW($C$3)),ErrorCheckTable,3,FALSE)), "",(VLOOKUP(SMALL('Error Check Table-Hidden'!B:B,ROW(C33)-ROW($C$3)),ErrorCheckTable,3,FALSE)))</f>
        <v>234</v>
      </c>
      <c r="D33" s="59" t="str">
        <f>IF(ISERROR(VLOOKUP(SMALL('Error Check Table-Hidden'!B:B,ROW(C33)-3),ErrorCheckTable,4,FALSE)), "",(VLOOKUP(SMALL('Error Check Table-Hidden'!B:B,ROW(C33)-3),ErrorCheckTable,4,FALSE)))</f>
        <v>Need to select</v>
      </c>
    </row>
    <row r="34" spans="2:4" x14ac:dyDescent="0.2">
      <c r="B34" s="67">
        <f t="shared" si="0"/>
        <v>31</v>
      </c>
      <c r="C34" s="67">
        <f>IF(ISERROR(VLOOKUP(SMALL('Error Check Table-Hidden'!B:B,ROW(C34)-ROW($C$3)),ErrorCheckTable,3,FALSE)), "",(VLOOKUP(SMALL('Error Check Table-Hidden'!B:B,ROW(C34)-ROW($C$3)),ErrorCheckTable,3,FALSE)))</f>
        <v>235</v>
      </c>
      <c r="D34" s="59" t="str">
        <f>IF(ISERROR(VLOOKUP(SMALL('Error Check Table-Hidden'!B:B,ROW(C34)-3),ErrorCheckTable,4,FALSE)), "",(VLOOKUP(SMALL('Error Check Table-Hidden'!B:B,ROW(C34)-3),ErrorCheckTable,4,FALSE)))</f>
        <v>Need to select</v>
      </c>
    </row>
    <row r="35" spans="2:4" x14ac:dyDescent="0.2">
      <c r="B35" s="67">
        <f t="shared" si="0"/>
        <v>32</v>
      </c>
      <c r="C35" s="67">
        <f>IF(ISERROR(VLOOKUP(SMALL('Error Check Table-Hidden'!B:B,ROW(C35)-ROW($C$3)),ErrorCheckTable,3,FALSE)), "",(VLOOKUP(SMALL('Error Check Table-Hidden'!B:B,ROW(C35)-ROW($C$3)),ErrorCheckTable,3,FALSE)))</f>
        <v>236</v>
      </c>
      <c r="D35" s="59" t="str">
        <f>IF(ISERROR(VLOOKUP(SMALL('Error Check Table-Hidden'!B:B,ROW(C35)-3),ErrorCheckTable,4,FALSE)), "",(VLOOKUP(SMALL('Error Check Table-Hidden'!B:B,ROW(C35)-3),ErrorCheckTable,4,FALSE)))</f>
        <v>Need to select</v>
      </c>
    </row>
    <row r="36" spans="2:4" x14ac:dyDescent="0.2">
      <c r="B36" s="67">
        <f t="shared" si="0"/>
        <v>33</v>
      </c>
      <c r="C36" s="67">
        <f>IF(ISERROR(VLOOKUP(SMALL('Error Check Table-Hidden'!B:B,ROW(C36)-ROW($C$3)),ErrorCheckTable,3,FALSE)), "",(VLOOKUP(SMALL('Error Check Table-Hidden'!B:B,ROW(C36)-ROW($C$3)),ErrorCheckTable,3,FALSE)))</f>
        <v>237</v>
      </c>
      <c r="D36" s="59" t="str">
        <f>IF(ISERROR(VLOOKUP(SMALL('Error Check Table-Hidden'!B:B,ROW(C36)-3),ErrorCheckTable,4,FALSE)), "",(VLOOKUP(SMALL('Error Check Table-Hidden'!B:B,ROW(C36)-3),ErrorCheckTable,4,FALSE)))</f>
        <v>Need to select</v>
      </c>
    </row>
    <row r="37" spans="2:4" x14ac:dyDescent="0.2">
      <c r="B37" s="67">
        <f t="shared" si="0"/>
        <v>34</v>
      </c>
      <c r="C37" s="67">
        <f>IF(ISERROR(VLOOKUP(SMALL('Error Check Table-Hidden'!B:B,ROW(C37)-ROW($C$3)),ErrorCheckTable,3,FALSE)), "",(VLOOKUP(SMALL('Error Check Table-Hidden'!B:B,ROW(C37)-ROW($C$3)),ErrorCheckTable,3,FALSE)))</f>
        <v>238</v>
      </c>
      <c r="D37" s="59" t="str">
        <f>IF(ISERROR(VLOOKUP(SMALL('Error Check Table-Hidden'!B:B,ROW(C37)-3),ErrorCheckTable,4,FALSE)), "",(VLOOKUP(SMALL('Error Check Table-Hidden'!B:B,ROW(C37)-3),ErrorCheckTable,4,FALSE)))</f>
        <v>Need to select</v>
      </c>
    </row>
    <row r="38" spans="2:4" x14ac:dyDescent="0.2">
      <c r="B38" s="67">
        <f t="shared" si="0"/>
        <v>35</v>
      </c>
      <c r="C38" s="67">
        <f>IF(ISERROR(VLOOKUP(SMALL('Error Check Table-Hidden'!B:B,ROW(C38)-ROW($C$3)),ErrorCheckTable,3,FALSE)), "",(VLOOKUP(SMALL('Error Check Table-Hidden'!B:B,ROW(C38)-ROW($C$3)),ErrorCheckTable,3,FALSE)))</f>
        <v>239</v>
      </c>
      <c r="D38" s="59" t="str">
        <f>IF(ISERROR(VLOOKUP(SMALL('Error Check Table-Hidden'!B:B,ROW(C38)-3),ErrorCheckTable,4,FALSE)), "",(VLOOKUP(SMALL('Error Check Table-Hidden'!B:B,ROW(C38)-3),ErrorCheckTable,4,FALSE)))</f>
        <v>Need to select</v>
      </c>
    </row>
    <row r="39" spans="2:4" x14ac:dyDescent="0.2">
      <c r="B39" s="67">
        <f t="shared" si="0"/>
        <v>36</v>
      </c>
      <c r="C39" s="67">
        <f>IF(ISERROR(VLOOKUP(SMALL('Error Check Table-Hidden'!B:B,ROW(C39)-ROW($C$3)),ErrorCheckTable,3,FALSE)), "",(VLOOKUP(SMALL('Error Check Table-Hidden'!B:B,ROW(C39)-ROW($C$3)),ErrorCheckTable,3,FALSE)))</f>
        <v>240</v>
      </c>
      <c r="D39" s="59" t="str">
        <f>IF(ISERROR(VLOOKUP(SMALL('Error Check Table-Hidden'!B:B,ROW(C39)-3),ErrorCheckTable,4,FALSE)), "",(VLOOKUP(SMALL('Error Check Table-Hidden'!B:B,ROW(C39)-3),ErrorCheckTable,4,FALSE)))</f>
        <v>Need to select</v>
      </c>
    </row>
    <row r="40" spans="2:4" x14ac:dyDescent="0.2">
      <c r="B40" s="67" t="str">
        <f t="shared" si="0"/>
        <v/>
      </c>
      <c r="C40" s="67" t="str">
        <f>IF(ISERROR(VLOOKUP(SMALL('Error Check Table-Hidden'!B:B,ROW(C40)-ROW($C$3)),ErrorCheckTable,3,FALSE)), "",(VLOOKUP(SMALL('Error Check Table-Hidden'!B:B,ROW(C40)-ROW($C$3)),ErrorCheckTable,3,FALSE)))</f>
        <v/>
      </c>
      <c r="D40" s="59" t="str">
        <f>IF(ISERROR(VLOOKUP(SMALL('Error Check Table-Hidden'!B:B,ROW(C40)-3),ErrorCheckTable,4,FALSE)), "",(VLOOKUP(SMALL('Error Check Table-Hidden'!B:B,ROW(C40)-3),ErrorCheckTable,4,FALSE)))</f>
        <v/>
      </c>
    </row>
    <row r="41" spans="2:4" x14ac:dyDescent="0.2">
      <c r="B41" s="67" t="str">
        <f t="shared" si="0"/>
        <v/>
      </c>
      <c r="C41" s="67" t="str">
        <f>IF(ISERROR(VLOOKUP(SMALL('Error Check Table-Hidden'!B:B,ROW(C41)-ROW($C$3)),ErrorCheckTable,3,FALSE)), "",(VLOOKUP(SMALL('Error Check Table-Hidden'!B:B,ROW(C41)-ROW($C$3)),ErrorCheckTable,3,FALSE)))</f>
        <v/>
      </c>
      <c r="D41" s="59" t="str">
        <f>IF(ISERROR(VLOOKUP(SMALL('Error Check Table-Hidden'!B:B,ROW(C41)-3),ErrorCheckTable,4,FALSE)), "",(VLOOKUP(SMALL('Error Check Table-Hidden'!B:B,ROW(C41)-3),ErrorCheckTable,4,FALSE)))</f>
        <v/>
      </c>
    </row>
    <row r="42" spans="2:4" x14ac:dyDescent="0.2">
      <c r="B42" s="67" t="str">
        <f t="shared" si="0"/>
        <v/>
      </c>
      <c r="C42" s="67" t="str">
        <f>IF(ISERROR(VLOOKUP(SMALL('Error Check Table-Hidden'!B:B,ROW(C42)-ROW($C$3)),ErrorCheckTable,3,FALSE)), "",(VLOOKUP(SMALL('Error Check Table-Hidden'!B:B,ROW(C42)-ROW($C$3)),ErrorCheckTable,3,FALSE)))</f>
        <v/>
      </c>
      <c r="D42" s="59" t="str">
        <f>IF(ISERROR(VLOOKUP(SMALL('Error Check Table-Hidden'!B:B,ROW(C42)-3),ErrorCheckTable,4,FALSE)), "",(VLOOKUP(SMALL('Error Check Table-Hidden'!B:B,ROW(C42)-3),ErrorCheckTable,4,FALSE)))</f>
        <v/>
      </c>
    </row>
    <row r="43" spans="2:4" x14ac:dyDescent="0.2">
      <c r="B43" s="67" t="str">
        <f t="shared" si="0"/>
        <v/>
      </c>
      <c r="C43" s="67" t="str">
        <f>IF(ISERROR(VLOOKUP(SMALL('Error Check Table-Hidden'!B:B,ROW(C43)-ROW($C$3)),ErrorCheckTable,3,FALSE)), "",(VLOOKUP(SMALL('Error Check Table-Hidden'!B:B,ROW(C43)-ROW($C$3)),ErrorCheckTable,3,FALSE)))</f>
        <v/>
      </c>
      <c r="D43" s="59" t="str">
        <f>IF(ISERROR(VLOOKUP(SMALL('Error Check Table-Hidden'!B:B,ROW(C43)-3),ErrorCheckTable,4,FALSE)), "",(VLOOKUP(SMALL('Error Check Table-Hidden'!B:B,ROW(C43)-3),ErrorCheckTable,4,FALSE)))</f>
        <v/>
      </c>
    </row>
    <row r="44" spans="2:4" x14ac:dyDescent="0.2">
      <c r="B44" s="67" t="str">
        <f t="shared" si="0"/>
        <v/>
      </c>
      <c r="C44" s="67" t="str">
        <f>IF(ISERROR(VLOOKUP(SMALL('Error Check Table-Hidden'!B:B,ROW(C44)-ROW($C$3)),ErrorCheckTable,3,FALSE)), "",(VLOOKUP(SMALL('Error Check Table-Hidden'!B:B,ROW(C44)-ROW($C$3)),ErrorCheckTable,3,FALSE)))</f>
        <v/>
      </c>
      <c r="D44" s="59" t="str">
        <f>IF(ISERROR(VLOOKUP(SMALL('Error Check Table-Hidden'!B:B,ROW(C44)-3),ErrorCheckTable,4,FALSE)), "",(VLOOKUP(SMALL('Error Check Table-Hidden'!B:B,ROW(C44)-3),ErrorCheckTable,4,FALSE)))</f>
        <v/>
      </c>
    </row>
    <row r="45" spans="2:4" x14ac:dyDescent="0.2">
      <c r="B45" s="67" t="str">
        <f t="shared" si="0"/>
        <v/>
      </c>
      <c r="C45" s="67" t="str">
        <f>IF(ISERROR(VLOOKUP(SMALL('Error Check Table-Hidden'!B:B,ROW(C45)-ROW($C$3)),ErrorCheckTable,3,FALSE)), "",(VLOOKUP(SMALL('Error Check Table-Hidden'!B:B,ROW(C45)-ROW($C$3)),ErrorCheckTable,3,FALSE)))</f>
        <v/>
      </c>
      <c r="D45" s="59" t="str">
        <f>IF(ISERROR(VLOOKUP(SMALL('Error Check Table-Hidden'!B:B,ROW(C45)-3),ErrorCheckTable,4,FALSE)), "",(VLOOKUP(SMALL('Error Check Table-Hidden'!B:B,ROW(C45)-3),ErrorCheckTable,4,FALSE)))</f>
        <v/>
      </c>
    </row>
    <row r="46" spans="2:4" x14ac:dyDescent="0.2">
      <c r="B46" s="67" t="str">
        <f t="shared" si="0"/>
        <v/>
      </c>
      <c r="C46" s="67" t="str">
        <f>IF(ISERROR(VLOOKUP(SMALL('Error Check Table-Hidden'!B:B,ROW(C46)-ROW($C$3)),ErrorCheckTable,3,FALSE)), "",(VLOOKUP(SMALL('Error Check Table-Hidden'!B:B,ROW(C46)-ROW($C$3)),ErrorCheckTable,3,FALSE)))</f>
        <v/>
      </c>
      <c r="D46" s="59" t="str">
        <f>IF(ISERROR(VLOOKUP(SMALL('Error Check Table-Hidden'!B:B,ROW(C46)-3),ErrorCheckTable,4,FALSE)), "",(VLOOKUP(SMALL('Error Check Table-Hidden'!B:B,ROW(C46)-3),ErrorCheckTable,4,FALSE)))</f>
        <v/>
      </c>
    </row>
    <row r="47" spans="2:4" x14ac:dyDescent="0.2">
      <c r="B47" s="67" t="str">
        <f t="shared" si="0"/>
        <v/>
      </c>
      <c r="C47" s="67" t="str">
        <f>IF(ISERROR(VLOOKUP(SMALL('Error Check Table-Hidden'!B:B,ROW(C47)-ROW($C$3)),ErrorCheckTable,3,FALSE)), "",(VLOOKUP(SMALL('Error Check Table-Hidden'!B:B,ROW(C47)-ROW($C$3)),ErrorCheckTable,3,FALSE)))</f>
        <v/>
      </c>
      <c r="D47" s="59" t="str">
        <f>IF(ISERROR(VLOOKUP(SMALL('Error Check Table-Hidden'!B:B,ROW(C47)-3),ErrorCheckTable,4,FALSE)), "",(VLOOKUP(SMALL('Error Check Table-Hidden'!B:B,ROW(C47)-3),ErrorCheckTable,4,FALSE)))</f>
        <v/>
      </c>
    </row>
    <row r="48" spans="2:4" x14ac:dyDescent="0.2">
      <c r="B48" s="67" t="str">
        <f t="shared" si="0"/>
        <v/>
      </c>
      <c r="C48" s="67" t="str">
        <f>IF(ISERROR(VLOOKUP(SMALL('Error Check Table-Hidden'!B:B,ROW(C48)-ROW($C$3)),ErrorCheckTable,3,FALSE)), "",(VLOOKUP(SMALL('Error Check Table-Hidden'!B:B,ROW(C48)-ROW($C$3)),ErrorCheckTable,3,FALSE)))</f>
        <v/>
      </c>
      <c r="D48" s="59" t="str">
        <f>IF(ISERROR(VLOOKUP(SMALL('Error Check Table-Hidden'!B:B,ROW(C48)-3),ErrorCheckTable,4,FALSE)), "",(VLOOKUP(SMALL('Error Check Table-Hidden'!B:B,ROW(C48)-3),ErrorCheckTable,4,FALSE)))</f>
        <v/>
      </c>
    </row>
    <row r="49" spans="2:4" x14ac:dyDescent="0.2">
      <c r="B49" s="67" t="str">
        <f t="shared" si="0"/>
        <v/>
      </c>
      <c r="C49" s="67" t="str">
        <f>IF(ISERROR(VLOOKUP(SMALL('Error Check Table-Hidden'!B:B,ROW(C49)-ROW($C$3)),ErrorCheckTable,3,FALSE)), "",(VLOOKUP(SMALL('Error Check Table-Hidden'!B:B,ROW(C49)-ROW($C$3)),ErrorCheckTable,3,FALSE)))</f>
        <v/>
      </c>
      <c r="D49" s="59" t="str">
        <f>IF(ISERROR(VLOOKUP(SMALL('Error Check Table-Hidden'!B:B,ROW(C49)-3),ErrorCheckTable,4,FALSE)), "",(VLOOKUP(SMALL('Error Check Table-Hidden'!B:B,ROW(C49)-3),ErrorCheckTable,4,FALSE)))</f>
        <v/>
      </c>
    </row>
    <row r="50" spans="2:4" x14ac:dyDescent="0.2">
      <c r="B50" s="67" t="str">
        <f t="shared" si="0"/>
        <v/>
      </c>
      <c r="C50" s="67" t="str">
        <f>IF(ISERROR(VLOOKUP(SMALL('Error Check Table-Hidden'!B:B,ROW(C50)-ROW($C$3)),ErrorCheckTable,3,FALSE)), "",(VLOOKUP(SMALL('Error Check Table-Hidden'!B:B,ROW(C50)-ROW($C$3)),ErrorCheckTable,3,FALSE)))</f>
        <v/>
      </c>
      <c r="D50" s="59" t="str">
        <f>IF(ISERROR(VLOOKUP(SMALL('Error Check Table-Hidden'!B:B,ROW(C50)-3),ErrorCheckTable,4,FALSE)), "",(VLOOKUP(SMALL('Error Check Table-Hidden'!B:B,ROW(C50)-3),ErrorCheckTable,4,FALSE)))</f>
        <v/>
      </c>
    </row>
    <row r="51" spans="2:4" x14ac:dyDescent="0.2">
      <c r="B51" s="67" t="str">
        <f t="shared" si="0"/>
        <v/>
      </c>
      <c r="C51" s="67" t="str">
        <f>IF(ISERROR(VLOOKUP(SMALL('Error Check Table-Hidden'!B:B,ROW(C51)-ROW($C$3)),ErrorCheckTable,3,FALSE)), "",(VLOOKUP(SMALL('Error Check Table-Hidden'!B:B,ROW(C51)-ROW($C$3)),ErrorCheckTable,3,FALSE)))</f>
        <v/>
      </c>
      <c r="D51" s="59" t="str">
        <f>IF(ISERROR(VLOOKUP(SMALL('Error Check Table-Hidden'!B:B,ROW(C51)-3),ErrorCheckTable,4,FALSE)), "",(VLOOKUP(SMALL('Error Check Table-Hidden'!B:B,ROW(C51)-3),ErrorCheckTable,4,FALSE)))</f>
        <v/>
      </c>
    </row>
    <row r="52" spans="2:4" x14ac:dyDescent="0.2">
      <c r="B52" s="67" t="str">
        <f t="shared" si="0"/>
        <v/>
      </c>
      <c r="C52" s="67" t="str">
        <f>IF(ISERROR(VLOOKUP(SMALL('Error Check Table-Hidden'!B:B,ROW(C52)-ROW($C$3)),ErrorCheckTable,3,FALSE)), "",(VLOOKUP(SMALL('Error Check Table-Hidden'!B:B,ROW(C52)-ROW($C$3)),ErrorCheckTable,3,FALSE)))</f>
        <v/>
      </c>
      <c r="D52" s="59" t="str">
        <f>IF(ISERROR(VLOOKUP(SMALL('Error Check Table-Hidden'!B:B,ROW(C52)-3),ErrorCheckTable,4,FALSE)), "",(VLOOKUP(SMALL('Error Check Table-Hidden'!B:B,ROW(C52)-3),ErrorCheckTable,4,FALSE)))</f>
        <v/>
      </c>
    </row>
    <row r="53" spans="2:4" x14ac:dyDescent="0.2">
      <c r="B53" s="67" t="str">
        <f t="shared" si="0"/>
        <v/>
      </c>
      <c r="C53" s="67" t="str">
        <f>IF(ISERROR(VLOOKUP(SMALL('Error Check Table-Hidden'!B:B,ROW(C53)-ROW($C$3)),ErrorCheckTable,3,FALSE)), "",(VLOOKUP(SMALL('Error Check Table-Hidden'!B:B,ROW(C53)-ROW($C$3)),ErrorCheckTable,3,FALSE)))</f>
        <v/>
      </c>
      <c r="D53" s="59" t="str">
        <f>IF(ISERROR(VLOOKUP(SMALL('Error Check Table-Hidden'!B:B,ROW(C53)-3),ErrorCheckTable,4,FALSE)), "",(VLOOKUP(SMALL('Error Check Table-Hidden'!B:B,ROW(C53)-3),ErrorCheckTable,4,FALSE)))</f>
        <v/>
      </c>
    </row>
    <row r="54" spans="2:4" x14ac:dyDescent="0.2">
      <c r="B54" s="67" t="str">
        <f t="shared" si="0"/>
        <v/>
      </c>
      <c r="C54" s="67" t="str">
        <f>IF(ISERROR(VLOOKUP(SMALL('Error Check Table-Hidden'!B:B,ROW(C54)-ROW($C$3)),ErrorCheckTable,3,FALSE)), "",(VLOOKUP(SMALL('Error Check Table-Hidden'!B:B,ROW(C54)-ROW($C$3)),ErrorCheckTable,3,FALSE)))</f>
        <v/>
      </c>
      <c r="D54" s="59" t="str">
        <f>IF(ISERROR(VLOOKUP(SMALL('Error Check Table-Hidden'!B:B,ROW(C54)-3),ErrorCheckTable,4,FALSE)), "",(VLOOKUP(SMALL('Error Check Table-Hidden'!B:B,ROW(C54)-3),ErrorCheckTable,4,FALSE)))</f>
        <v/>
      </c>
    </row>
    <row r="55" spans="2:4" x14ac:dyDescent="0.2">
      <c r="B55" s="67" t="str">
        <f t="shared" si="0"/>
        <v/>
      </c>
      <c r="C55" s="67" t="str">
        <f>IF(ISERROR(VLOOKUP(SMALL('Error Check Table-Hidden'!B:B,ROW(C55)-ROW($C$3)),ErrorCheckTable,3,FALSE)), "",(VLOOKUP(SMALL('Error Check Table-Hidden'!B:B,ROW(C55)-ROW($C$3)),ErrorCheckTable,3,FALSE)))</f>
        <v/>
      </c>
      <c r="D55" s="59" t="str">
        <f>IF(ISERROR(VLOOKUP(SMALL('Error Check Table-Hidden'!B:B,ROW(C55)-3),ErrorCheckTable,4,FALSE)), "",(VLOOKUP(SMALL('Error Check Table-Hidden'!B:B,ROW(C55)-3),ErrorCheckTable,4,FALSE)))</f>
        <v/>
      </c>
    </row>
    <row r="56" spans="2:4" x14ac:dyDescent="0.2">
      <c r="B56" s="67" t="str">
        <f t="shared" si="0"/>
        <v/>
      </c>
      <c r="C56" s="67" t="str">
        <f>IF(ISERROR(VLOOKUP(SMALL('Error Check Table-Hidden'!B:B,ROW(C56)-ROW($C$3)),ErrorCheckTable,3,FALSE)), "",(VLOOKUP(SMALL('Error Check Table-Hidden'!B:B,ROW(C56)-ROW($C$3)),ErrorCheckTable,3,FALSE)))</f>
        <v/>
      </c>
      <c r="D56" s="59" t="str">
        <f>IF(ISERROR(VLOOKUP(SMALL('Error Check Table-Hidden'!B:B,ROW(C56)-3),ErrorCheckTable,4,FALSE)), "",(VLOOKUP(SMALL('Error Check Table-Hidden'!B:B,ROW(C56)-3),ErrorCheckTable,4,FALSE)))</f>
        <v/>
      </c>
    </row>
    <row r="57" spans="2:4" x14ac:dyDescent="0.2">
      <c r="B57" s="67" t="str">
        <f t="shared" si="0"/>
        <v/>
      </c>
      <c r="C57" s="67" t="str">
        <f>IF(ISERROR(VLOOKUP(SMALL('Error Check Table-Hidden'!B:B,ROW(C57)-ROW($C$3)),ErrorCheckTable,3,FALSE)), "",(VLOOKUP(SMALL('Error Check Table-Hidden'!B:B,ROW(C57)-ROW($C$3)),ErrorCheckTable,3,FALSE)))</f>
        <v/>
      </c>
      <c r="D57" s="59" t="str">
        <f>IF(ISERROR(VLOOKUP(SMALL('Error Check Table-Hidden'!B:B,ROW(C57)-3),ErrorCheckTable,4,FALSE)), "",(VLOOKUP(SMALL('Error Check Table-Hidden'!B:B,ROW(C57)-3),ErrorCheckTable,4,FALSE)))</f>
        <v/>
      </c>
    </row>
    <row r="58" spans="2:4" x14ac:dyDescent="0.2">
      <c r="B58" s="67" t="str">
        <f t="shared" si="0"/>
        <v/>
      </c>
      <c r="C58" s="67" t="str">
        <f>IF(ISERROR(VLOOKUP(SMALL('Error Check Table-Hidden'!B:B,ROW(C58)-ROW($C$3)),ErrorCheckTable,3,FALSE)), "",(VLOOKUP(SMALL('Error Check Table-Hidden'!B:B,ROW(C58)-ROW($C$3)),ErrorCheckTable,3,FALSE)))</f>
        <v/>
      </c>
      <c r="D58" s="59" t="str">
        <f>IF(ISERROR(VLOOKUP(SMALL('Error Check Table-Hidden'!B:B,ROW(C58)-3),ErrorCheckTable,4,FALSE)), "",(VLOOKUP(SMALL('Error Check Table-Hidden'!B:B,ROW(C58)-3),ErrorCheckTable,4,FALSE)))</f>
        <v/>
      </c>
    </row>
    <row r="59" spans="2:4" x14ac:dyDescent="0.2">
      <c r="B59" s="67" t="str">
        <f t="shared" si="0"/>
        <v/>
      </c>
      <c r="C59" s="67" t="str">
        <f>IF(ISERROR(VLOOKUP(SMALL('Error Check Table-Hidden'!B:B,ROW(C59)-ROW($C$3)),ErrorCheckTable,3,FALSE)), "",(VLOOKUP(SMALL('Error Check Table-Hidden'!B:B,ROW(C59)-ROW($C$3)),ErrorCheckTable,3,FALSE)))</f>
        <v/>
      </c>
      <c r="D59" s="59" t="str">
        <f>IF(ISERROR(VLOOKUP(SMALL('Error Check Table-Hidden'!B:B,ROW(C59)-3),ErrorCheckTable,4,FALSE)), "",(VLOOKUP(SMALL('Error Check Table-Hidden'!B:B,ROW(C59)-3),ErrorCheckTable,4,FALSE)))</f>
        <v/>
      </c>
    </row>
    <row r="60" spans="2:4" x14ac:dyDescent="0.2">
      <c r="B60" s="67" t="str">
        <f t="shared" si="0"/>
        <v/>
      </c>
      <c r="C60" s="67" t="str">
        <f>IF(ISERROR(VLOOKUP(SMALL('Error Check Table-Hidden'!B:B,ROW(C60)-ROW($C$3)),ErrorCheckTable,3,FALSE)), "",(VLOOKUP(SMALL('Error Check Table-Hidden'!B:B,ROW(C60)-ROW($C$3)),ErrorCheckTable,3,FALSE)))</f>
        <v/>
      </c>
      <c r="D60" s="59" t="str">
        <f>IF(ISERROR(VLOOKUP(SMALL('Error Check Table-Hidden'!B:B,ROW(C60)-3),ErrorCheckTable,4,FALSE)), "",(VLOOKUP(SMALL('Error Check Table-Hidden'!B:B,ROW(C60)-3),ErrorCheckTable,4,FALSE)))</f>
        <v/>
      </c>
    </row>
    <row r="61" spans="2:4" x14ac:dyDescent="0.2">
      <c r="B61" s="67" t="str">
        <f t="shared" si="0"/>
        <v/>
      </c>
      <c r="C61" s="67" t="str">
        <f>IF(ISERROR(VLOOKUP(SMALL('Error Check Table-Hidden'!B:B,ROW(C61)-ROW($C$3)),ErrorCheckTable,3,FALSE)), "",(VLOOKUP(SMALL('Error Check Table-Hidden'!B:B,ROW(C61)-ROW($C$3)),ErrorCheckTable,3,FALSE)))</f>
        <v/>
      </c>
      <c r="D61" s="59" t="str">
        <f>IF(ISERROR(VLOOKUP(SMALL('Error Check Table-Hidden'!B:B,ROW(C61)-3),ErrorCheckTable,4,FALSE)), "",(VLOOKUP(SMALL('Error Check Table-Hidden'!B:B,ROW(C61)-3),ErrorCheckTable,4,FALSE)))</f>
        <v/>
      </c>
    </row>
    <row r="62" spans="2:4" x14ac:dyDescent="0.2">
      <c r="B62" s="67" t="str">
        <f t="shared" si="0"/>
        <v/>
      </c>
      <c r="C62" s="67" t="str">
        <f>IF(ISERROR(VLOOKUP(SMALL('Error Check Table-Hidden'!B:B,ROW(C62)-ROW($C$3)),ErrorCheckTable,3,FALSE)), "",(VLOOKUP(SMALL('Error Check Table-Hidden'!B:B,ROW(C62)-ROW($C$3)),ErrorCheckTable,3,FALSE)))</f>
        <v/>
      </c>
      <c r="D62" s="59" t="str">
        <f>IF(ISERROR(VLOOKUP(SMALL('Error Check Table-Hidden'!B:B,ROW(C62)-3),ErrorCheckTable,4,FALSE)), "",(VLOOKUP(SMALL('Error Check Table-Hidden'!B:B,ROW(C62)-3),ErrorCheckTable,4,FALSE)))</f>
        <v/>
      </c>
    </row>
    <row r="63" spans="2:4" x14ac:dyDescent="0.2">
      <c r="B63" s="67" t="str">
        <f t="shared" si="0"/>
        <v/>
      </c>
      <c r="C63" s="67" t="str">
        <f>IF(ISERROR(VLOOKUP(SMALL('Error Check Table-Hidden'!B:B,ROW(C63)-ROW($C$3)),ErrorCheckTable,3,FALSE)), "",(VLOOKUP(SMALL('Error Check Table-Hidden'!B:B,ROW(C63)-ROW($C$3)),ErrorCheckTable,3,FALSE)))</f>
        <v/>
      </c>
      <c r="D63" s="59" t="str">
        <f>IF(ISERROR(VLOOKUP(SMALL('Error Check Table-Hidden'!B:B,ROW(C63)-3),ErrorCheckTable,4,FALSE)), "",(VLOOKUP(SMALL('Error Check Table-Hidden'!B:B,ROW(C63)-3),ErrorCheckTable,4,FALSE)))</f>
        <v/>
      </c>
    </row>
    <row r="64" spans="2:4" x14ac:dyDescent="0.2">
      <c r="B64" s="67" t="str">
        <f t="shared" si="0"/>
        <v/>
      </c>
      <c r="C64" s="67" t="str">
        <f>IF(ISERROR(VLOOKUP(SMALL('Error Check Table-Hidden'!B:B,ROW(C64)-ROW($C$3)),ErrorCheckTable,3,FALSE)), "",(VLOOKUP(SMALL('Error Check Table-Hidden'!B:B,ROW(C64)-ROW($C$3)),ErrorCheckTable,3,FALSE)))</f>
        <v/>
      </c>
      <c r="D64" s="59" t="str">
        <f>IF(ISERROR(VLOOKUP(SMALL('Error Check Table-Hidden'!B:B,ROW(C64)-3),ErrorCheckTable,4,FALSE)), "",(VLOOKUP(SMALL('Error Check Table-Hidden'!B:B,ROW(C64)-3),ErrorCheckTable,4,FALSE)))</f>
        <v/>
      </c>
    </row>
    <row r="65" spans="2:4" x14ac:dyDescent="0.2">
      <c r="B65" s="67" t="str">
        <f t="shared" si="0"/>
        <v/>
      </c>
      <c r="C65" s="67" t="str">
        <f>IF(ISERROR(VLOOKUP(SMALL('Error Check Table-Hidden'!B:B,ROW(C65)-ROW($C$3)),ErrorCheckTable,3,FALSE)), "",(VLOOKUP(SMALL('Error Check Table-Hidden'!B:B,ROW(C65)-ROW($C$3)),ErrorCheckTable,3,FALSE)))</f>
        <v/>
      </c>
      <c r="D65" s="59" t="str">
        <f>IF(ISERROR(VLOOKUP(SMALL('Error Check Table-Hidden'!B:B,ROW(C65)-3),ErrorCheckTable,4,FALSE)), "",(VLOOKUP(SMALL('Error Check Table-Hidden'!B:B,ROW(C65)-3),ErrorCheckTable,4,FALSE)))</f>
        <v/>
      </c>
    </row>
    <row r="66" spans="2:4" x14ac:dyDescent="0.2">
      <c r="B66" s="67" t="str">
        <f t="shared" si="0"/>
        <v/>
      </c>
      <c r="C66" s="67" t="str">
        <f>IF(ISERROR(VLOOKUP(SMALL('Error Check Table-Hidden'!B:B,ROW(C66)-ROW($C$3)),ErrorCheckTable,3,FALSE)), "",(VLOOKUP(SMALL('Error Check Table-Hidden'!B:B,ROW(C66)-ROW($C$3)),ErrorCheckTable,3,FALSE)))</f>
        <v/>
      </c>
      <c r="D66" s="59" t="str">
        <f>IF(ISERROR(VLOOKUP(SMALL('Error Check Table-Hidden'!B:B,ROW(C66)-3),ErrorCheckTable,4,FALSE)), "",(VLOOKUP(SMALL('Error Check Table-Hidden'!B:B,ROW(C66)-3),ErrorCheckTable,4,FALSE)))</f>
        <v/>
      </c>
    </row>
    <row r="67" spans="2:4" x14ac:dyDescent="0.2">
      <c r="B67" s="67" t="str">
        <f t="shared" si="0"/>
        <v/>
      </c>
      <c r="C67" s="67" t="str">
        <f>IF(ISERROR(VLOOKUP(SMALL('Error Check Table-Hidden'!B:B,ROW(C67)-ROW($C$3)),ErrorCheckTable,3,FALSE)), "",(VLOOKUP(SMALL('Error Check Table-Hidden'!B:B,ROW(C67)-ROW($C$3)),ErrorCheckTable,3,FALSE)))</f>
        <v/>
      </c>
      <c r="D67" s="59" t="str">
        <f>IF(ISERROR(VLOOKUP(SMALL('Error Check Table-Hidden'!B:B,ROW(C67)-3),ErrorCheckTable,4,FALSE)), "",(VLOOKUP(SMALL('Error Check Table-Hidden'!B:B,ROW(C67)-3),ErrorCheckTable,4,FALSE)))</f>
        <v/>
      </c>
    </row>
    <row r="68" spans="2:4" x14ac:dyDescent="0.2">
      <c r="B68" s="67" t="str">
        <f t="shared" si="0"/>
        <v/>
      </c>
      <c r="C68" s="67" t="str">
        <f>IF(ISERROR(VLOOKUP(SMALL('Error Check Table-Hidden'!B:B,ROW(C68)-ROW($C$3)),ErrorCheckTable,3,FALSE)), "",(VLOOKUP(SMALL('Error Check Table-Hidden'!B:B,ROW(C68)-ROW($C$3)),ErrorCheckTable,3,FALSE)))</f>
        <v/>
      </c>
      <c r="D68" s="59" t="str">
        <f>IF(ISERROR(VLOOKUP(SMALL('Error Check Table-Hidden'!B:B,ROW(C68)-3),ErrorCheckTable,4,FALSE)), "",(VLOOKUP(SMALL('Error Check Table-Hidden'!B:B,ROW(C68)-3),ErrorCheckTable,4,FALSE)))</f>
        <v/>
      </c>
    </row>
    <row r="69" spans="2:4" x14ac:dyDescent="0.2">
      <c r="B69" s="67" t="str">
        <f t="shared" ref="B69:B132" si="1">IF(C69&lt;&gt;"",B68+1,"")</f>
        <v/>
      </c>
      <c r="C69" s="67" t="str">
        <f>IF(ISERROR(VLOOKUP(SMALL('Error Check Table-Hidden'!B:B,ROW(C69)-ROW($C$3)),ErrorCheckTable,3,FALSE)), "",(VLOOKUP(SMALL('Error Check Table-Hidden'!B:B,ROW(C69)-ROW($C$3)),ErrorCheckTable,3,FALSE)))</f>
        <v/>
      </c>
      <c r="D69" s="59" t="str">
        <f>IF(ISERROR(VLOOKUP(SMALL('Error Check Table-Hidden'!B:B,ROW(C69)-3),ErrorCheckTable,4,FALSE)), "",(VLOOKUP(SMALL('Error Check Table-Hidden'!B:B,ROW(C69)-3),ErrorCheckTable,4,FALSE)))</f>
        <v/>
      </c>
    </row>
    <row r="70" spans="2:4" x14ac:dyDescent="0.2">
      <c r="B70" s="67" t="str">
        <f t="shared" si="1"/>
        <v/>
      </c>
      <c r="C70" s="67" t="str">
        <f>IF(ISERROR(VLOOKUP(SMALL('Error Check Table-Hidden'!B:B,ROW(C70)-ROW($C$3)),ErrorCheckTable,3,FALSE)), "",(VLOOKUP(SMALL('Error Check Table-Hidden'!B:B,ROW(C70)-ROW($C$3)),ErrorCheckTable,3,FALSE)))</f>
        <v/>
      </c>
      <c r="D70" s="59" t="str">
        <f>IF(ISERROR(VLOOKUP(SMALL('Error Check Table-Hidden'!B:B,ROW(C70)-3),ErrorCheckTable,4,FALSE)), "",(VLOOKUP(SMALL('Error Check Table-Hidden'!B:B,ROW(C70)-3),ErrorCheckTable,4,FALSE)))</f>
        <v/>
      </c>
    </row>
    <row r="71" spans="2:4" x14ac:dyDescent="0.2">
      <c r="B71" s="67" t="str">
        <f t="shared" si="1"/>
        <v/>
      </c>
      <c r="C71" s="67" t="str">
        <f>IF(ISERROR(VLOOKUP(SMALL('Error Check Table-Hidden'!B:B,ROW(C71)-ROW($C$3)),ErrorCheckTable,3,FALSE)), "",(VLOOKUP(SMALL('Error Check Table-Hidden'!B:B,ROW(C71)-ROW($C$3)),ErrorCheckTable,3,FALSE)))</f>
        <v/>
      </c>
      <c r="D71" s="59" t="str">
        <f>IF(ISERROR(VLOOKUP(SMALL('Error Check Table-Hidden'!B:B,ROW(C71)-3),ErrorCheckTable,4,FALSE)), "",(VLOOKUP(SMALL('Error Check Table-Hidden'!B:B,ROW(C71)-3),ErrorCheckTable,4,FALSE)))</f>
        <v/>
      </c>
    </row>
    <row r="72" spans="2:4" x14ac:dyDescent="0.2">
      <c r="B72" s="67" t="str">
        <f t="shared" si="1"/>
        <v/>
      </c>
      <c r="C72" s="67" t="str">
        <f>IF(ISERROR(VLOOKUP(SMALL('Error Check Table-Hidden'!B:B,ROW(C72)-ROW($C$3)),ErrorCheckTable,3,FALSE)), "",(VLOOKUP(SMALL('Error Check Table-Hidden'!B:B,ROW(C72)-ROW($C$3)),ErrorCheckTable,3,FALSE)))</f>
        <v/>
      </c>
      <c r="D72" s="59" t="str">
        <f>IF(ISERROR(VLOOKUP(SMALL('Error Check Table-Hidden'!B:B,ROW(C72)-3),ErrorCheckTable,4,FALSE)), "",(VLOOKUP(SMALL('Error Check Table-Hidden'!B:B,ROW(C72)-3),ErrorCheckTable,4,FALSE)))</f>
        <v/>
      </c>
    </row>
    <row r="73" spans="2:4" x14ac:dyDescent="0.2">
      <c r="B73" s="67" t="str">
        <f t="shared" si="1"/>
        <v/>
      </c>
      <c r="C73" s="67" t="str">
        <f>IF(ISERROR(VLOOKUP(SMALL('Error Check Table-Hidden'!B:B,ROW(C73)-ROW($C$3)),ErrorCheckTable,3,FALSE)), "",(VLOOKUP(SMALL('Error Check Table-Hidden'!B:B,ROW(C73)-ROW($C$3)),ErrorCheckTable,3,FALSE)))</f>
        <v/>
      </c>
      <c r="D73" s="59" t="str">
        <f>IF(ISERROR(VLOOKUP(SMALL('Error Check Table-Hidden'!B:B,ROW(C73)-3),ErrorCheckTable,4,FALSE)), "",(VLOOKUP(SMALL('Error Check Table-Hidden'!B:B,ROW(C73)-3),ErrorCheckTable,4,FALSE)))</f>
        <v/>
      </c>
    </row>
    <row r="74" spans="2:4" x14ac:dyDescent="0.2">
      <c r="B74" s="67" t="str">
        <f t="shared" si="1"/>
        <v/>
      </c>
      <c r="C74" s="67" t="str">
        <f>IF(ISERROR(VLOOKUP(SMALL('Error Check Table-Hidden'!B:B,ROW(C74)-ROW($C$3)),ErrorCheckTable,3,FALSE)), "",(VLOOKUP(SMALL('Error Check Table-Hidden'!B:B,ROW(C74)-ROW($C$3)),ErrorCheckTable,3,FALSE)))</f>
        <v/>
      </c>
      <c r="D74" s="59" t="str">
        <f>IF(ISERROR(VLOOKUP(SMALL('Error Check Table-Hidden'!B:B,ROW(C74)-3),ErrorCheckTable,4,FALSE)), "",(VLOOKUP(SMALL('Error Check Table-Hidden'!B:B,ROW(C74)-3),ErrorCheckTable,4,FALSE)))</f>
        <v/>
      </c>
    </row>
    <row r="75" spans="2:4" x14ac:dyDescent="0.2">
      <c r="B75" s="67" t="str">
        <f t="shared" si="1"/>
        <v/>
      </c>
      <c r="C75" s="67" t="str">
        <f>IF(ISERROR(VLOOKUP(SMALL('Error Check Table-Hidden'!B:B,ROW(C75)-ROW($C$3)),ErrorCheckTable,3,FALSE)), "",(VLOOKUP(SMALL('Error Check Table-Hidden'!B:B,ROW(C75)-ROW($C$3)),ErrorCheckTable,3,FALSE)))</f>
        <v/>
      </c>
      <c r="D75" s="59" t="str">
        <f>IF(ISERROR(VLOOKUP(SMALL('Error Check Table-Hidden'!B:B,ROW(C75)-3),ErrorCheckTable,4,FALSE)), "",(VLOOKUP(SMALL('Error Check Table-Hidden'!B:B,ROW(C75)-3),ErrorCheckTable,4,FALSE)))</f>
        <v/>
      </c>
    </row>
    <row r="76" spans="2:4" x14ac:dyDescent="0.2">
      <c r="B76" s="67" t="str">
        <f t="shared" si="1"/>
        <v/>
      </c>
      <c r="C76" s="67" t="str">
        <f>IF(ISERROR(VLOOKUP(SMALL('Error Check Table-Hidden'!B:B,ROW(C76)-ROW($C$3)),ErrorCheckTable,3,FALSE)), "",(VLOOKUP(SMALL('Error Check Table-Hidden'!B:B,ROW(C76)-ROW($C$3)),ErrorCheckTable,3,FALSE)))</f>
        <v/>
      </c>
      <c r="D76" s="59" t="str">
        <f>IF(ISERROR(VLOOKUP(SMALL('Error Check Table-Hidden'!B:B,ROW(C76)-3),ErrorCheckTable,4,FALSE)), "",(VLOOKUP(SMALL('Error Check Table-Hidden'!B:B,ROW(C76)-3),ErrorCheckTable,4,FALSE)))</f>
        <v/>
      </c>
    </row>
    <row r="77" spans="2:4" x14ac:dyDescent="0.2">
      <c r="B77" s="67" t="str">
        <f t="shared" si="1"/>
        <v/>
      </c>
      <c r="C77" s="67" t="str">
        <f>IF(ISERROR(VLOOKUP(SMALL('Error Check Table-Hidden'!B:B,ROW(C77)-ROW($C$3)),ErrorCheckTable,3,FALSE)), "",(VLOOKUP(SMALL('Error Check Table-Hidden'!B:B,ROW(C77)-ROW($C$3)),ErrorCheckTable,3,FALSE)))</f>
        <v/>
      </c>
      <c r="D77" s="59" t="str">
        <f>IF(ISERROR(VLOOKUP(SMALL('Error Check Table-Hidden'!B:B,ROW(C77)-3),ErrorCheckTable,4,FALSE)), "",(VLOOKUP(SMALL('Error Check Table-Hidden'!B:B,ROW(C77)-3),ErrorCheckTable,4,FALSE)))</f>
        <v/>
      </c>
    </row>
    <row r="78" spans="2:4" x14ac:dyDescent="0.2">
      <c r="B78" s="67" t="str">
        <f t="shared" si="1"/>
        <v/>
      </c>
      <c r="C78" s="67" t="str">
        <f>IF(ISERROR(VLOOKUP(SMALL('Error Check Table-Hidden'!B:B,ROW(C78)-ROW($C$3)),ErrorCheckTable,3,FALSE)), "",(VLOOKUP(SMALL('Error Check Table-Hidden'!B:B,ROW(C78)-ROW($C$3)),ErrorCheckTable,3,FALSE)))</f>
        <v/>
      </c>
      <c r="D78" s="59" t="str">
        <f>IF(ISERROR(VLOOKUP(SMALL('Error Check Table-Hidden'!B:B,ROW(C78)-3),ErrorCheckTable,4,FALSE)), "",(VLOOKUP(SMALL('Error Check Table-Hidden'!B:B,ROW(C78)-3),ErrorCheckTable,4,FALSE)))</f>
        <v/>
      </c>
    </row>
    <row r="79" spans="2:4" x14ac:dyDescent="0.2">
      <c r="B79" s="67" t="str">
        <f t="shared" si="1"/>
        <v/>
      </c>
      <c r="C79" s="67" t="str">
        <f>IF(ISERROR(VLOOKUP(SMALL('Error Check Table-Hidden'!B:B,ROW(C79)-ROW($C$3)),ErrorCheckTable,3,FALSE)), "",(VLOOKUP(SMALL('Error Check Table-Hidden'!B:B,ROW(C79)-ROW($C$3)),ErrorCheckTable,3,FALSE)))</f>
        <v/>
      </c>
      <c r="D79" s="59" t="str">
        <f>IF(ISERROR(VLOOKUP(SMALL('Error Check Table-Hidden'!B:B,ROW(C79)-3),ErrorCheckTable,4,FALSE)), "",(VLOOKUP(SMALL('Error Check Table-Hidden'!B:B,ROW(C79)-3),ErrorCheckTable,4,FALSE)))</f>
        <v/>
      </c>
    </row>
    <row r="80" spans="2:4" x14ac:dyDescent="0.2">
      <c r="B80" s="67" t="str">
        <f t="shared" si="1"/>
        <v/>
      </c>
      <c r="C80" s="67" t="str">
        <f>IF(ISERROR(VLOOKUP(SMALL('Error Check Table-Hidden'!B:B,ROW(C80)-ROW($C$3)),ErrorCheckTable,3,FALSE)), "",(VLOOKUP(SMALL('Error Check Table-Hidden'!B:B,ROW(C80)-ROW($C$3)),ErrorCheckTable,3,FALSE)))</f>
        <v/>
      </c>
      <c r="D80" s="59" t="str">
        <f>IF(ISERROR(VLOOKUP(SMALL('Error Check Table-Hidden'!B:B,ROW(C80)-3),ErrorCheckTable,4,FALSE)), "",(VLOOKUP(SMALL('Error Check Table-Hidden'!B:B,ROW(C80)-3),ErrorCheckTable,4,FALSE)))</f>
        <v/>
      </c>
    </row>
    <row r="81" spans="2:4" x14ac:dyDescent="0.2">
      <c r="B81" s="67" t="str">
        <f t="shared" si="1"/>
        <v/>
      </c>
      <c r="C81" s="67" t="str">
        <f>IF(ISERROR(VLOOKUP(SMALL('Error Check Table-Hidden'!B:B,ROW(C81)-ROW($C$3)),ErrorCheckTable,3,FALSE)), "",(VLOOKUP(SMALL('Error Check Table-Hidden'!B:B,ROW(C81)-ROW($C$3)),ErrorCheckTable,3,FALSE)))</f>
        <v/>
      </c>
      <c r="D81" s="59" t="str">
        <f>IF(ISERROR(VLOOKUP(SMALL('Error Check Table-Hidden'!B:B,ROW(C81)-3),ErrorCheckTable,4,FALSE)), "",(VLOOKUP(SMALL('Error Check Table-Hidden'!B:B,ROW(C81)-3),ErrorCheckTable,4,FALSE)))</f>
        <v/>
      </c>
    </row>
    <row r="82" spans="2:4" x14ac:dyDescent="0.2">
      <c r="B82" s="67" t="str">
        <f t="shared" si="1"/>
        <v/>
      </c>
      <c r="C82" s="67" t="str">
        <f>IF(ISERROR(VLOOKUP(SMALL('Error Check Table-Hidden'!B:B,ROW(C82)-ROW($C$3)),ErrorCheckTable,3,FALSE)), "",(VLOOKUP(SMALL('Error Check Table-Hidden'!B:B,ROW(C82)-ROW($C$3)),ErrorCheckTable,3,FALSE)))</f>
        <v/>
      </c>
      <c r="D82" s="59" t="str">
        <f>IF(ISERROR(VLOOKUP(SMALL('Error Check Table-Hidden'!B:B,ROW(C82)-3),ErrorCheckTable,4,FALSE)), "",(VLOOKUP(SMALL('Error Check Table-Hidden'!B:B,ROW(C82)-3),ErrorCheckTable,4,FALSE)))</f>
        <v/>
      </c>
    </row>
    <row r="83" spans="2:4" x14ac:dyDescent="0.2">
      <c r="B83" s="67" t="str">
        <f t="shared" si="1"/>
        <v/>
      </c>
      <c r="C83" s="67" t="str">
        <f>IF(ISERROR(VLOOKUP(SMALL('Error Check Table-Hidden'!B:B,ROW(C83)-ROW($C$3)),ErrorCheckTable,3,FALSE)), "",(VLOOKUP(SMALL('Error Check Table-Hidden'!B:B,ROW(C83)-ROW($C$3)),ErrorCheckTable,3,FALSE)))</f>
        <v/>
      </c>
      <c r="D83" s="59" t="str">
        <f>IF(ISERROR(VLOOKUP(SMALL('Error Check Table-Hidden'!B:B,ROW(C83)-3),ErrorCheckTable,4,FALSE)), "",(VLOOKUP(SMALL('Error Check Table-Hidden'!B:B,ROW(C83)-3),ErrorCheckTable,4,FALSE)))</f>
        <v/>
      </c>
    </row>
    <row r="84" spans="2:4" x14ac:dyDescent="0.2">
      <c r="B84" s="67" t="str">
        <f t="shared" si="1"/>
        <v/>
      </c>
      <c r="C84" s="67" t="str">
        <f>IF(ISERROR(VLOOKUP(SMALL('Error Check Table-Hidden'!B:B,ROW(C84)-ROW($C$3)),ErrorCheckTable,3,FALSE)), "",(VLOOKUP(SMALL('Error Check Table-Hidden'!B:B,ROW(C84)-ROW($C$3)),ErrorCheckTable,3,FALSE)))</f>
        <v/>
      </c>
      <c r="D84" s="59" t="str">
        <f>IF(ISERROR(VLOOKUP(SMALL('Error Check Table-Hidden'!B:B,ROW(C84)-3),ErrorCheckTable,4,FALSE)), "",(VLOOKUP(SMALL('Error Check Table-Hidden'!B:B,ROW(C84)-3),ErrorCheckTable,4,FALSE)))</f>
        <v/>
      </c>
    </row>
    <row r="85" spans="2:4" x14ac:dyDescent="0.2">
      <c r="B85" s="67" t="str">
        <f t="shared" si="1"/>
        <v/>
      </c>
      <c r="C85" s="67" t="str">
        <f>IF(ISERROR(VLOOKUP(SMALL('Error Check Table-Hidden'!B:B,ROW(C85)-ROW($C$3)),ErrorCheckTable,3,FALSE)), "",(VLOOKUP(SMALL('Error Check Table-Hidden'!B:B,ROW(C85)-ROW($C$3)),ErrorCheckTable,3,FALSE)))</f>
        <v/>
      </c>
      <c r="D85" s="59" t="str">
        <f>IF(ISERROR(VLOOKUP(SMALL('Error Check Table-Hidden'!B:B,ROW(C85)-3),ErrorCheckTable,4,FALSE)), "",(VLOOKUP(SMALL('Error Check Table-Hidden'!B:B,ROW(C85)-3),ErrorCheckTable,4,FALSE)))</f>
        <v/>
      </c>
    </row>
    <row r="86" spans="2:4" x14ac:dyDescent="0.2">
      <c r="B86" s="67" t="str">
        <f t="shared" si="1"/>
        <v/>
      </c>
      <c r="C86" s="67" t="str">
        <f>IF(ISERROR(VLOOKUP(SMALL('Error Check Table-Hidden'!B:B,ROW(C86)-ROW($C$3)),ErrorCheckTable,3,FALSE)), "",(VLOOKUP(SMALL('Error Check Table-Hidden'!B:B,ROW(C86)-ROW($C$3)),ErrorCheckTable,3,FALSE)))</f>
        <v/>
      </c>
      <c r="D86" s="59" t="str">
        <f>IF(ISERROR(VLOOKUP(SMALL('Error Check Table-Hidden'!B:B,ROW(C86)-3),ErrorCheckTable,4,FALSE)), "",(VLOOKUP(SMALL('Error Check Table-Hidden'!B:B,ROW(C86)-3),ErrorCheckTable,4,FALSE)))</f>
        <v/>
      </c>
    </row>
    <row r="87" spans="2:4" x14ac:dyDescent="0.2">
      <c r="B87" s="67" t="str">
        <f t="shared" si="1"/>
        <v/>
      </c>
      <c r="C87" s="67" t="str">
        <f>IF(ISERROR(VLOOKUP(SMALL('Error Check Table-Hidden'!B:B,ROW(C87)-ROW($C$3)),ErrorCheckTable,3,FALSE)), "",(VLOOKUP(SMALL('Error Check Table-Hidden'!B:B,ROW(C87)-ROW($C$3)),ErrorCheckTable,3,FALSE)))</f>
        <v/>
      </c>
      <c r="D87" s="59" t="str">
        <f>IF(ISERROR(VLOOKUP(SMALL('Error Check Table-Hidden'!B:B,ROW(C87)-3),ErrorCheckTable,4,FALSE)), "",(VLOOKUP(SMALL('Error Check Table-Hidden'!B:B,ROW(C87)-3),ErrorCheckTable,4,FALSE)))</f>
        <v/>
      </c>
    </row>
    <row r="88" spans="2:4" x14ac:dyDescent="0.2">
      <c r="B88" s="67" t="str">
        <f t="shared" si="1"/>
        <v/>
      </c>
      <c r="C88" s="67" t="str">
        <f>IF(ISERROR(VLOOKUP(SMALL('Error Check Table-Hidden'!B:B,ROW(C88)-ROW($C$3)),ErrorCheckTable,3,FALSE)), "",(VLOOKUP(SMALL('Error Check Table-Hidden'!B:B,ROW(C88)-ROW($C$3)),ErrorCheckTable,3,FALSE)))</f>
        <v/>
      </c>
      <c r="D88" s="59" t="str">
        <f>IF(ISERROR(VLOOKUP(SMALL('Error Check Table-Hidden'!B:B,ROW(C88)-3),ErrorCheckTable,4,FALSE)), "",(VLOOKUP(SMALL('Error Check Table-Hidden'!B:B,ROW(C88)-3),ErrorCheckTable,4,FALSE)))</f>
        <v/>
      </c>
    </row>
    <row r="89" spans="2:4" x14ac:dyDescent="0.2">
      <c r="B89" s="67" t="str">
        <f t="shared" si="1"/>
        <v/>
      </c>
      <c r="C89" s="67" t="str">
        <f>IF(ISERROR(VLOOKUP(SMALL('Error Check Table-Hidden'!B:B,ROW(C89)-ROW($C$3)),ErrorCheckTable,3,FALSE)), "",(VLOOKUP(SMALL('Error Check Table-Hidden'!B:B,ROW(C89)-ROW($C$3)),ErrorCheckTable,3,FALSE)))</f>
        <v/>
      </c>
      <c r="D89" s="59" t="str">
        <f>IF(ISERROR(VLOOKUP(SMALL('Error Check Table-Hidden'!B:B,ROW(C89)-3),ErrorCheckTable,4,FALSE)), "",(VLOOKUP(SMALL('Error Check Table-Hidden'!B:B,ROW(C89)-3),ErrorCheckTable,4,FALSE)))</f>
        <v/>
      </c>
    </row>
    <row r="90" spans="2:4" x14ac:dyDescent="0.2">
      <c r="B90" s="67" t="str">
        <f t="shared" si="1"/>
        <v/>
      </c>
      <c r="C90" s="67" t="str">
        <f>IF(ISERROR(VLOOKUP(SMALL('Error Check Table-Hidden'!B:B,ROW(C90)-ROW($C$3)),ErrorCheckTable,3,FALSE)), "",(VLOOKUP(SMALL('Error Check Table-Hidden'!B:B,ROW(C90)-ROW($C$3)),ErrorCheckTable,3,FALSE)))</f>
        <v/>
      </c>
      <c r="D90" s="59" t="str">
        <f>IF(ISERROR(VLOOKUP(SMALL('Error Check Table-Hidden'!B:B,ROW(C90)-3),ErrorCheckTable,4,FALSE)), "",(VLOOKUP(SMALL('Error Check Table-Hidden'!B:B,ROW(C90)-3),ErrorCheckTable,4,FALSE)))</f>
        <v/>
      </c>
    </row>
    <row r="91" spans="2:4" x14ac:dyDescent="0.2">
      <c r="B91" s="67" t="str">
        <f t="shared" si="1"/>
        <v/>
      </c>
      <c r="C91" s="67" t="str">
        <f>IF(ISERROR(VLOOKUP(SMALL('Error Check Table-Hidden'!B:B,ROW(C91)-ROW($C$3)),ErrorCheckTable,3,FALSE)), "",(VLOOKUP(SMALL('Error Check Table-Hidden'!B:B,ROW(C91)-ROW($C$3)),ErrorCheckTable,3,FALSE)))</f>
        <v/>
      </c>
      <c r="D91" s="59" t="str">
        <f>IF(ISERROR(VLOOKUP(SMALL('Error Check Table-Hidden'!B:B,ROW(C91)-3),ErrorCheckTable,4,FALSE)), "",(VLOOKUP(SMALL('Error Check Table-Hidden'!B:B,ROW(C91)-3),ErrorCheckTable,4,FALSE)))</f>
        <v/>
      </c>
    </row>
    <row r="92" spans="2:4" x14ac:dyDescent="0.2">
      <c r="B92" s="67" t="str">
        <f t="shared" si="1"/>
        <v/>
      </c>
      <c r="C92" s="67" t="str">
        <f>IF(ISERROR(VLOOKUP(SMALL('Error Check Table-Hidden'!B:B,ROW(C92)-ROW($C$3)),ErrorCheckTable,3,FALSE)), "",(VLOOKUP(SMALL('Error Check Table-Hidden'!B:B,ROW(C92)-ROW($C$3)),ErrorCheckTable,3,FALSE)))</f>
        <v/>
      </c>
      <c r="D92" s="59" t="str">
        <f>IF(ISERROR(VLOOKUP(SMALL('Error Check Table-Hidden'!B:B,ROW(C92)-3),ErrorCheckTable,4,FALSE)), "",(VLOOKUP(SMALL('Error Check Table-Hidden'!B:B,ROW(C92)-3),ErrorCheckTable,4,FALSE)))</f>
        <v/>
      </c>
    </row>
    <row r="93" spans="2:4" x14ac:dyDescent="0.2">
      <c r="B93" s="67" t="str">
        <f t="shared" si="1"/>
        <v/>
      </c>
      <c r="C93" s="67" t="str">
        <f>IF(ISERROR(VLOOKUP(SMALL('Error Check Table-Hidden'!B:B,ROW(C93)-ROW($C$3)),ErrorCheckTable,3,FALSE)), "",(VLOOKUP(SMALL('Error Check Table-Hidden'!B:B,ROW(C93)-ROW($C$3)),ErrorCheckTable,3,FALSE)))</f>
        <v/>
      </c>
      <c r="D93" s="59" t="str">
        <f>IF(ISERROR(VLOOKUP(SMALL('Error Check Table-Hidden'!B:B,ROW(C93)-3),ErrorCheckTable,4,FALSE)), "",(VLOOKUP(SMALL('Error Check Table-Hidden'!B:B,ROW(C93)-3),ErrorCheckTable,4,FALSE)))</f>
        <v/>
      </c>
    </row>
    <row r="94" spans="2:4" x14ac:dyDescent="0.2">
      <c r="B94" s="67" t="str">
        <f t="shared" si="1"/>
        <v/>
      </c>
      <c r="C94" s="67" t="str">
        <f>IF(ISERROR(VLOOKUP(SMALL('Error Check Table-Hidden'!B:B,ROW(C94)-ROW($C$3)),ErrorCheckTable,3,FALSE)), "",(VLOOKUP(SMALL('Error Check Table-Hidden'!B:B,ROW(C94)-ROW($C$3)),ErrorCheckTable,3,FALSE)))</f>
        <v/>
      </c>
      <c r="D94" s="59" t="str">
        <f>IF(ISERROR(VLOOKUP(SMALL('Error Check Table-Hidden'!B:B,ROW(C94)-3),ErrorCheckTable,4,FALSE)), "",(VLOOKUP(SMALL('Error Check Table-Hidden'!B:B,ROW(C94)-3),ErrorCheckTable,4,FALSE)))</f>
        <v/>
      </c>
    </row>
    <row r="95" spans="2:4" x14ac:dyDescent="0.2">
      <c r="B95" s="67" t="str">
        <f t="shared" si="1"/>
        <v/>
      </c>
      <c r="C95" s="67" t="str">
        <f>IF(ISERROR(VLOOKUP(SMALL('Error Check Table-Hidden'!B:B,ROW(C95)-ROW($C$3)),ErrorCheckTable,3,FALSE)), "",(VLOOKUP(SMALL('Error Check Table-Hidden'!B:B,ROW(C95)-ROW($C$3)),ErrorCheckTable,3,FALSE)))</f>
        <v/>
      </c>
      <c r="D95" s="59" t="str">
        <f>IF(ISERROR(VLOOKUP(SMALL('Error Check Table-Hidden'!B:B,ROW(C95)-3),ErrorCheckTable,4,FALSE)), "",(VLOOKUP(SMALL('Error Check Table-Hidden'!B:B,ROW(C95)-3),ErrorCheckTable,4,FALSE)))</f>
        <v/>
      </c>
    </row>
    <row r="96" spans="2:4" x14ac:dyDescent="0.2">
      <c r="B96" s="67" t="str">
        <f t="shared" si="1"/>
        <v/>
      </c>
      <c r="C96" s="67" t="str">
        <f>IF(ISERROR(VLOOKUP(SMALL('Error Check Table-Hidden'!B:B,ROW(C96)-ROW($C$3)),ErrorCheckTable,3,FALSE)), "",(VLOOKUP(SMALL('Error Check Table-Hidden'!B:B,ROW(C96)-ROW($C$3)),ErrorCheckTable,3,FALSE)))</f>
        <v/>
      </c>
      <c r="D96" s="59" t="str">
        <f>IF(ISERROR(VLOOKUP(SMALL('Error Check Table-Hidden'!B:B,ROW(C96)-3),ErrorCheckTable,4,FALSE)), "",(VLOOKUP(SMALL('Error Check Table-Hidden'!B:B,ROW(C96)-3),ErrorCheckTable,4,FALSE)))</f>
        <v/>
      </c>
    </row>
    <row r="97" spans="2:4" x14ac:dyDescent="0.2">
      <c r="B97" s="67" t="str">
        <f t="shared" si="1"/>
        <v/>
      </c>
      <c r="C97" s="67" t="str">
        <f>IF(ISERROR(VLOOKUP(SMALL('Error Check Table-Hidden'!B:B,ROW(C97)-ROW($C$3)),ErrorCheckTable,3,FALSE)), "",(VLOOKUP(SMALL('Error Check Table-Hidden'!B:B,ROW(C97)-ROW($C$3)),ErrorCheckTable,3,FALSE)))</f>
        <v/>
      </c>
      <c r="D97" s="59" t="str">
        <f>IF(ISERROR(VLOOKUP(SMALL('Error Check Table-Hidden'!B:B,ROW(C97)-3),ErrorCheckTable,4,FALSE)), "",(VLOOKUP(SMALL('Error Check Table-Hidden'!B:B,ROW(C97)-3),ErrorCheckTable,4,FALSE)))</f>
        <v/>
      </c>
    </row>
    <row r="98" spans="2:4" x14ac:dyDescent="0.2">
      <c r="B98" s="67" t="str">
        <f t="shared" si="1"/>
        <v/>
      </c>
      <c r="C98" s="67" t="str">
        <f>IF(ISERROR(VLOOKUP(SMALL('Error Check Table-Hidden'!B:B,ROW(C98)-ROW($C$3)),ErrorCheckTable,3,FALSE)), "",(VLOOKUP(SMALL('Error Check Table-Hidden'!B:B,ROW(C98)-ROW($C$3)),ErrorCheckTable,3,FALSE)))</f>
        <v/>
      </c>
      <c r="D98" s="59" t="str">
        <f>IF(ISERROR(VLOOKUP(SMALL('Error Check Table-Hidden'!B:B,ROW(C98)-3),ErrorCheckTable,4,FALSE)), "",(VLOOKUP(SMALL('Error Check Table-Hidden'!B:B,ROW(C98)-3),ErrorCheckTable,4,FALSE)))</f>
        <v/>
      </c>
    </row>
    <row r="99" spans="2:4" x14ac:dyDescent="0.2">
      <c r="B99" s="67" t="str">
        <f t="shared" si="1"/>
        <v/>
      </c>
      <c r="C99" s="67" t="str">
        <f>IF(ISERROR(VLOOKUP(SMALL('Error Check Table-Hidden'!B:B,ROW(C99)-ROW($C$3)),ErrorCheckTable,3,FALSE)), "",(VLOOKUP(SMALL('Error Check Table-Hidden'!B:B,ROW(C99)-ROW($C$3)),ErrorCheckTable,3,FALSE)))</f>
        <v/>
      </c>
      <c r="D99" s="59" t="str">
        <f>IF(ISERROR(VLOOKUP(SMALL('Error Check Table-Hidden'!B:B,ROW(C99)-3),ErrorCheckTable,4,FALSE)), "",(VLOOKUP(SMALL('Error Check Table-Hidden'!B:B,ROW(C99)-3),ErrorCheckTable,4,FALSE)))</f>
        <v/>
      </c>
    </row>
    <row r="100" spans="2:4" x14ac:dyDescent="0.2">
      <c r="B100" s="67" t="str">
        <f t="shared" si="1"/>
        <v/>
      </c>
      <c r="C100" s="67" t="str">
        <f>IF(ISERROR(VLOOKUP(SMALL('Error Check Table-Hidden'!B:B,ROW(C100)-ROW($C$3)),ErrorCheckTable,3,FALSE)), "",(VLOOKUP(SMALL('Error Check Table-Hidden'!B:B,ROW(C100)-ROW($C$3)),ErrorCheckTable,3,FALSE)))</f>
        <v/>
      </c>
      <c r="D100" s="59" t="str">
        <f>IF(ISERROR(VLOOKUP(SMALL('Error Check Table-Hidden'!B:B,ROW(C100)-3),ErrorCheckTable,4,FALSE)), "",(VLOOKUP(SMALL('Error Check Table-Hidden'!B:B,ROW(C100)-3),ErrorCheckTable,4,FALSE)))</f>
        <v/>
      </c>
    </row>
    <row r="101" spans="2:4" x14ac:dyDescent="0.2">
      <c r="B101" s="67" t="str">
        <f t="shared" si="1"/>
        <v/>
      </c>
      <c r="C101" s="67" t="str">
        <f>IF(ISERROR(VLOOKUP(SMALL('Error Check Table-Hidden'!B:B,ROW(C101)-ROW($C$3)),ErrorCheckTable,3,FALSE)), "",(VLOOKUP(SMALL('Error Check Table-Hidden'!B:B,ROW(C101)-ROW($C$3)),ErrorCheckTable,3,FALSE)))</f>
        <v/>
      </c>
      <c r="D101" s="59" t="str">
        <f>IF(ISERROR(VLOOKUP(SMALL('Error Check Table-Hidden'!B:B,ROW(C101)-3),ErrorCheckTable,4,FALSE)), "",(VLOOKUP(SMALL('Error Check Table-Hidden'!B:B,ROW(C101)-3),ErrorCheckTable,4,FALSE)))</f>
        <v/>
      </c>
    </row>
    <row r="102" spans="2:4" x14ac:dyDescent="0.2">
      <c r="B102" s="67" t="str">
        <f t="shared" si="1"/>
        <v/>
      </c>
      <c r="C102" s="67" t="str">
        <f>IF(ISERROR(VLOOKUP(SMALL('Error Check Table-Hidden'!B:B,ROW(C102)-ROW($C$3)),ErrorCheckTable,3,FALSE)), "",(VLOOKUP(SMALL('Error Check Table-Hidden'!B:B,ROW(C102)-ROW($C$3)),ErrorCheckTable,3,FALSE)))</f>
        <v/>
      </c>
      <c r="D102" s="59" t="str">
        <f>IF(ISERROR(VLOOKUP(SMALL('Error Check Table-Hidden'!B:B,ROW(C102)-3),ErrorCheckTable,4,FALSE)), "",(VLOOKUP(SMALL('Error Check Table-Hidden'!B:B,ROW(C102)-3),ErrorCheckTable,4,FALSE)))</f>
        <v/>
      </c>
    </row>
    <row r="103" spans="2:4" x14ac:dyDescent="0.2">
      <c r="B103" s="67" t="str">
        <f t="shared" si="1"/>
        <v/>
      </c>
      <c r="C103" s="67" t="str">
        <f>IF(ISERROR(VLOOKUP(SMALL('Error Check Table-Hidden'!B:B,ROW(C103)-ROW($C$3)),ErrorCheckTable,3,FALSE)), "",(VLOOKUP(SMALL('Error Check Table-Hidden'!B:B,ROW(C103)-ROW($C$3)),ErrorCheckTable,3,FALSE)))</f>
        <v/>
      </c>
      <c r="D103" s="59" t="str">
        <f>IF(ISERROR(VLOOKUP(SMALL('Error Check Table-Hidden'!B:B,ROW(C103)-3),ErrorCheckTable,4,FALSE)), "",(VLOOKUP(SMALL('Error Check Table-Hidden'!B:B,ROW(C103)-3),ErrorCheckTable,4,FALSE)))</f>
        <v/>
      </c>
    </row>
    <row r="104" spans="2:4" x14ac:dyDescent="0.2">
      <c r="B104" s="67" t="str">
        <f t="shared" si="1"/>
        <v/>
      </c>
      <c r="C104" s="67" t="str">
        <f>IF(ISERROR(VLOOKUP(SMALL('Error Check Table-Hidden'!B:B,ROW(C104)-ROW($C$3)),ErrorCheckTable,3,FALSE)), "",(VLOOKUP(SMALL('Error Check Table-Hidden'!B:B,ROW(C104)-ROW($C$3)),ErrorCheckTable,3,FALSE)))</f>
        <v/>
      </c>
      <c r="D104" s="59" t="str">
        <f>IF(ISERROR(VLOOKUP(SMALL('Error Check Table-Hidden'!B:B,ROW(C104)-3),ErrorCheckTable,4,FALSE)), "",(VLOOKUP(SMALL('Error Check Table-Hidden'!B:B,ROW(C104)-3),ErrorCheckTable,4,FALSE)))</f>
        <v/>
      </c>
    </row>
    <row r="105" spans="2:4" x14ac:dyDescent="0.2">
      <c r="B105" s="67" t="str">
        <f t="shared" si="1"/>
        <v/>
      </c>
      <c r="C105" s="67" t="str">
        <f>IF(ISERROR(VLOOKUP(SMALL('Error Check Table-Hidden'!B:B,ROW(C105)-ROW($C$3)),ErrorCheckTable,3,FALSE)), "",(VLOOKUP(SMALL('Error Check Table-Hidden'!B:B,ROW(C105)-ROW($C$3)),ErrorCheckTable,3,FALSE)))</f>
        <v/>
      </c>
      <c r="D105" s="59" t="str">
        <f>IF(ISERROR(VLOOKUP(SMALL('Error Check Table-Hidden'!B:B,ROW(C105)-3),ErrorCheckTable,4,FALSE)), "",(VLOOKUP(SMALL('Error Check Table-Hidden'!B:B,ROW(C105)-3),ErrorCheckTable,4,FALSE)))</f>
        <v/>
      </c>
    </row>
    <row r="106" spans="2:4" x14ac:dyDescent="0.2">
      <c r="B106" s="67" t="str">
        <f t="shared" si="1"/>
        <v/>
      </c>
      <c r="C106" s="67" t="str">
        <f>IF(ISERROR(VLOOKUP(SMALL('Error Check Table-Hidden'!B:B,ROW(C106)-ROW($C$3)),ErrorCheckTable,3,FALSE)), "",(VLOOKUP(SMALL('Error Check Table-Hidden'!B:B,ROW(C106)-ROW($C$3)),ErrorCheckTable,3,FALSE)))</f>
        <v/>
      </c>
      <c r="D106" s="59" t="str">
        <f>IF(ISERROR(VLOOKUP(SMALL('Error Check Table-Hidden'!B:B,ROW(C106)-3),ErrorCheckTable,4,FALSE)), "",(VLOOKUP(SMALL('Error Check Table-Hidden'!B:B,ROW(C106)-3),ErrorCheckTable,4,FALSE)))</f>
        <v/>
      </c>
    </row>
    <row r="107" spans="2:4" x14ac:dyDescent="0.2">
      <c r="B107" s="67" t="str">
        <f t="shared" si="1"/>
        <v/>
      </c>
      <c r="C107" s="67" t="str">
        <f>IF(ISERROR(VLOOKUP(SMALL('Error Check Table-Hidden'!B:B,ROW(C107)-ROW($C$3)),ErrorCheckTable,3,FALSE)), "",(VLOOKUP(SMALL('Error Check Table-Hidden'!B:B,ROW(C107)-ROW($C$3)),ErrorCheckTable,3,FALSE)))</f>
        <v/>
      </c>
      <c r="D107" s="59" t="str">
        <f>IF(ISERROR(VLOOKUP(SMALL('Error Check Table-Hidden'!B:B,ROW(C107)-3),ErrorCheckTable,4,FALSE)), "",(VLOOKUP(SMALL('Error Check Table-Hidden'!B:B,ROW(C107)-3),ErrorCheckTable,4,FALSE)))</f>
        <v/>
      </c>
    </row>
    <row r="108" spans="2:4" x14ac:dyDescent="0.2">
      <c r="B108" s="67" t="str">
        <f t="shared" si="1"/>
        <v/>
      </c>
      <c r="C108" s="67" t="str">
        <f>IF(ISERROR(VLOOKUP(SMALL('Error Check Table-Hidden'!B:B,ROW(C108)-ROW($C$3)),ErrorCheckTable,3,FALSE)), "",(VLOOKUP(SMALL('Error Check Table-Hidden'!B:B,ROW(C108)-ROW($C$3)),ErrorCheckTable,3,FALSE)))</f>
        <v/>
      </c>
      <c r="D108" s="59" t="str">
        <f>IF(ISERROR(VLOOKUP(SMALL('Error Check Table-Hidden'!B:B,ROW(C108)-3),ErrorCheckTable,4,FALSE)), "",(VLOOKUP(SMALL('Error Check Table-Hidden'!B:B,ROW(C108)-3),ErrorCheckTable,4,FALSE)))</f>
        <v/>
      </c>
    </row>
    <row r="109" spans="2:4" x14ac:dyDescent="0.2">
      <c r="B109" s="67" t="str">
        <f t="shared" si="1"/>
        <v/>
      </c>
      <c r="C109" s="67" t="str">
        <f>IF(ISERROR(VLOOKUP(SMALL('Error Check Table-Hidden'!B:B,ROW(C109)-ROW($C$3)),ErrorCheckTable,3,FALSE)), "",(VLOOKUP(SMALL('Error Check Table-Hidden'!B:B,ROW(C109)-ROW($C$3)),ErrorCheckTable,3,FALSE)))</f>
        <v/>
      </c>
      <c r="D109" s="59" t="str">
        <f>IF(ISERROR(VLOOKUP(SMALL('Error Check Table-Hidden'!B:B,ROW(C109)-3),ErrorCheckTable,4,FALSE)), "",(VLOOKUP(SMALL('Error Check Table-Hidden'!B:B,ROW(C109)-3),ErrorCheckTable,4,FALSE)))</f>
        <v/>
      </c>
    </row>
    <row r="110" spans="2:4" x14ac:dyDescent="0.2">
      <c r="B110" s="67" t="str">
        <f t="shared" si="1"/>
        <v/>
      </c>
      <c r="C110" s="67" t="str">
        <f>IF(ISERROR(VLOOKUP(SMALL('Error Check Table-Hidden'!B:B,ROW(C110)-ROW($C$3)),ErrorCheckTable,3,FALSE)), "",(VLOOKUP(SMALL('Error Check Table-Hidden'!B:B,ROW(C110)-ROW($C$3)),ErrorCheckTable,3,FALSE)))</f>
        <v/>
      </c>
      <c r="D110" s="59" t="str">
        <f>IF(ISERROR(VLOOKUP(SMALL('Error Check Table-Hidden'!B:B,ROW(C110)-3),ErrorCheckTable,4,FALSE)), "",(VLOOKUP(SMALL('Error Check Table-Hidden'!B:B,ROW(C110)-3),ErrorCheckTable,4,FALSE)))</f>
        <v/>
      </c>
    </row>
    <row r="111" spans="2:4" x14ac:dyDescent="0.2">
      <c r="B111" s="67" t="str">
        <f t="shared" si="1"/>
        <v/>
      </c>
      <c r="C111" s="67" t="str">
        <f>IF(ISERROR(VLOOKUP(SMALL('Error Check Table-Hidden'!B:B,ROW(C111)-ROW($C$3)),ErrorCheckTable,3,FALSE)), "",(VLOOKUP(SMALL('Error Check Table-Hidden'!B:B,ROW(C111)-ROW($C$3)),ErrorCheckTable,3,FALSE)))</f>
        <v/>
      </c>
      <c r="D111" s="59" t="str">
        <f>IF(ISERROR(VLOOKUP(SMALL('Error Check Table-Hidden'!B:B,ROW(C111)-3),ErrorCheckTable,4,FALSE)), "",(VLOOKUP(SMALL('Error Check Table-Hidden'!B:B,ROW(C111)-3),ErrorCheckTable,4,FALSE)))</f>
        <v/>
      </c>
    </row>
    <row r="112" spans="2:4" x14ac:dyDescent="0.2">
      <c r="B112" s="67" t="str">
        <f t="shared" si="1"/>
        <v/>
      </c>
      <c r="C112" s="67" t="str">
        <f>IF(ISERROR(VLOOKUP(SMALL('Error Check Table-Hidden'!B:B,ROW(C112)-ROW($C$3)),ErrorCheckTable,3,FALSE)), "",(VLOOKUP(SMALL('Error Check Table-Hidden'!B:B,ROW(C112)-ROW($C$3)),ErrorCheckTable,3,FALSE)))</f>
        <v/>
      </c>
      <c r="D112" s="59" t="str">
        <f>IF(ISERROR(VLOOKUP(SMALL('Error Check Table-Hidden'!B:B,ROW(C112)-3),ErrorCheckTable,4,FALSE)), "",(VLOOKUP(SMALL('Error Check Table-Hidden'!B:B,ROW(C112)-3),ErrorCheckTable,4,FALSE)))</f>
        <v/>
      </c>
    </row>
    <row r="113" spans="2:4" x14ac:dyDescent="0.2">
      <c r="B113" s="67" t="str">
        <f t="shared" si="1"/>
        <v/>
      </c>
      <c r="C113" s="67" t="str">
        <f>IF(ISERROR(VLOOKUP(SMALL('Error Check Table-Hidden'!B:B,ROW(C113)-ROW($C$3)),ErrorCheckTable,3,FALSE)), "",(VLOOKUP(SMALL('Error Check Table-Hidden'!B:B,ROW(C113)-ROW($C$3)),ErrorCheckTable,3,FALSE)))</f>
        <v/>
      </c>
      <c r="D113" s="59" t="str">
        <f>IF(ISERROR(VLOOKUP(SMALL('Error Check Table-Hidden'!B:B,ROW(C113)-3),ErrorCheckTable,4,FALSE)), "",(VLOOKUP(SMALL('Error Check Table-Hidden'!B:B,ROW(C113)-3),ErrorCheckTable,4,FALSE)))</f>
        <v/>
      </c>
    </row>
    <row r="114" spans="2:4" x14ac:dyDescent="0.2">
      <c r="B114" s="67" t="str">
        <f t="shared" si="1"/>
        <v/>
      </c>
      <c r="C114" s="67" t="str">
        <f>IF(ISERROR(VLOOKUP(SMALL('Error Check Table-Hidden'!B:B,ROW(C114)-ROW($C$3)),ErrorCheckTable,3,FALSE)), "",(VLOOKUP(SMALL('Error Check Table-Hidden'!B:B,ROW(C114)-ROW($C$3)),ErrorCheckTable,3,FALSE)))</f>
        <v/>
      </c>
      <c r="D114" s="59" t="str">
        <f>IF(ISERROR(VLOOKUP(SMALL('Error Check Table-Hidden'!B:B,ROW(C114)-3),ErrorCheckTable,4,FALSE)), "",(VLOOKUP(SMALL('Error Check Table-Hidden'!B:B,ROW(C114)-3),ErrorCheckTable,4,FALSE)))</f>
        <v/>
      </c>
    </row>
    <row r="115" spans="2:4" x14ac:dyDescent="0.2">
      <c r="B115" s="67" t="str">
        <f t="shared" si="1"/>
        <v/>
      </c>
      <c r="C115" s="67" t="str">
        <f>IF(ISERROR(VLOOKUP(SMALL('Error Check Table-Hidden'!B:B,ROW(C115)-ROW($C$3)),ErrorCheckTable,3,FALSE)), "",(VLOOKUP(SMALL('Error Check Table-Hidden'!B:B,ROW(C115)-ROW($C$3)),ErrorCheckTable,3,FALSE)))</f>
        <v/>
      </c>
      <c r="D115" s="59" t="str">
        <f>IF(ISERROR(VLOOKUP(SMALL('Error Check Table-Hidden'!B:B,ROW(C115)-3),ErrorCheckTable,4,FALSE)), "",(VLOOKUP(SMALL('Error Check Table-Hidden'!B:B,ROW(C115)-3),ErrorCheckTable,4,FALSE)))</f>
        <v/>
      </c>
    </row>
    <row r="116" spans="2:4" x14ac:dyDescent="0.2">
      <c r="B116" s="67" t="str">
        <f t="shared" si="1"/>
        <v/>
      </c>
      <c r="C116" s="67" t="str">
        <f>IF(ISERROR(VLOOKUP(SMALL('Error Check Table-Hidden'!B:B,ROW(C116)-ROW($C$3)),ErrorCheckTable,3,FALSE)), "",(VLOOKUP(SMALL('Error Check Table-Hidden'!B:B,ROW(C116)-ROW($C$3)),ErrorCheckTable,3,FALSE)))</f>
        <v/>
      </c>
      <c r="D116" s="59" t="str">
        <f>IF(ISERROR(VLOOKUP(SMALL('Error Check Table-Hidden'!B:B,ROW(C116)-3),ErrorCheckTable,4,FALSE)), "",(VLOOKUP(SMALL('Error Check Table-Hidden'!B:B,ROW(C116)-3),ErrorCheckTable,4,FALSE)))</f>
        <v/>
      </c>
    </row>
    <row r="117" spans="2:4" x14ac:dyDescent="0.2">
      <c r="B117" s="67" t="str">
        <f t="shared" si="1"/>
        <v/>
      </c>
      <c r="C117" s="67" t="str">
        <f>IF(ISERROR(VLOOKUP(SMALL('Error Check Table-Hidden'!B:B,ROW(C117)-ROW($C$3)),ErrorCheckTable,3,FALSE)), "",(VLOOKUP(SMALL('Error Check Table-Hidden'!B:B,ROW(C117)-ROW($C$3)),ErrorCheckTable,3,FALSE)))</f>
        <v/>
      </c>
      <c r="D117" s="59" t="str">
        <f>IF(ISERROR(VLOOKUP(SMALL('Error Check Table-Hidden'!B:B,ROW(C117)-3),ErrorCheckTable,4,FALSE)), "",(VLOOKUP(SMALL('Error Check Table-Hidden'!B:B,ROW(C117)-3),ErrorCheckTable,4,FALSE)))</f>
        <v/>
      </c>
    </row>
    <row r="118" spans="2:4" x14ac:dyDescent="0.2">
      <c r="B118" s="67" t="str">
        <f t="shared" si="1"/>
        <v/>
      </c>
      <c r="C118" s="67" t="str">
        <f>IF(ISERROR(VLOOKUP(SMALL('Error Check Table-Hidden'!B:B,ROW(C118)-ROW($C$3)),ErrorCheckTable,3,FALSE)), "",(VLOOKUP(SMALL('Error Check Table-Hidden'!B:B,ROW(C118)-ROW($C$3)),ErrorCheckTable,3,FALSE)))</f>
        <v/>
      </c>
      <c r="D118" s="59" t="str">
        <f>IF(ISERROR(VLOOKUP(SMALL('Error Check Table-Hidden'!B:B,ROW(C118)-3),ErrorCheckTable,4,FALSE)), "",(VLOOKUP(SMALL('Error Check Table-Hidden'!B:B,ROW(C118)-3),ErrorCheckTable,4,FALSE)))</f>
        <v/>
      </c>
    </row>
    <row r="119" spans="2:4" x14ac:dyDescent="0.2">
      <c r="B119" s="67" t="str">
        <f t="shared" si="1"/>
        <v/>
      </c>
      <c r="C119" s="67" t="str">
        <f>IF(ISERROR(VLOOKUP(SMALL('Error Check Table-Hidden'!B:B,ROW(C119)-ROW($C$3)),ErrorCheckTable,3,FALSE)), "",(VLOOKUP(SMALL('Error Check Table-Hidden'!B:B,ROW(C119)-ROW($C$3)),ErrorCheckTable,3,FALSE)))</f>
        <v/>
      </c>
      <c r="D119" s="59" t="str">
        <f>IF(ISERROR(VLOOKUP(SMALL('Error Check Table-Hidden'!B:B,ROW(C119)-3),ErrorCheckTable,4,FALSE)), "",(VLOOKUP(SMALL('Error Check Table-Hidden'!B:B,ROW(C119)-3),ErrorCheckTable,4,FALSE)))</f>
        <v/>
      </c>
    </row>
    <row r="120" spans="2:4" x14ac:dyDescent="0.2">
      <c r="B120" s="67" t="str">
        <f t="shared" si="1"/>
        <v/>
      </c>
      <c r="C120" s="67" t="str">
        <f>IF(ISERROR(VLOOKUP(SMALL('Error Check Table-Hidden'!B:B,ROW(C120)-ROW($C$3)),ErrorCheckTable,3,FALSE)), "",(VLOOKUP(SMALL('Error Check Table-Hidden'!B:B,ROW(C120)-ROW($C$3)),ErrorCheckTable,3,FALSE)))</f>
        <v/>
      </c>
      <c r="D120" s="59" t="str">
        <f>IF(ISERROR(VLOOKUP(SMALL('Error Check Table-Hidden'!B:B,ROW(C120)-3),ErrorCheckTable,4,FALSE)), "",(VLOOKUP(SMALL('Error Check Table-Hidden'!B:B,ROW(C120)-3),ErrorCheckTable,4,FALSE)))</f>
        <v/>
      </c>
    </row>
    <row r="121" spans="2:4" x14ac:dyDescent="0.2">
      <c r="B121" s="67" t="str">
        <f t="shared" si="1"/>
        <v/>
      </c>
      <c r="C121" s="67" t="str">
        <f>IF(ISERROR(VLOOKUP(SMALL('Error Check Table-Hidden'!B:B,ROW(C121)-ROW($C$3)),ErrorCheckTable,3,FALSE)), "",(VLOOKUP(SMALL('Error Check Table-Hidden'!B:B,ROW(C121)-ROW($C$3)),ErrorCheckTable,3,FALSE)))</f>
        <v/>
      </c>
      <c r="D121" s="59" t="str">
        <f>IF(ISERROR(VLOOKUP(SMALL('Error Check Table-Hidden'!B:B,ROW(C121)-3),ErrorCheckTable,4,FALSE)), "",(VLOOKUP(SMALL('Error Check Table-Hidden'!B:B,ROW(C121)-3),ErrorCheckTable,4,FALSE)))</f>
        <v/>
      </c>
    </row>
    <row r="122" spans="2:4" x14ac:dyDescent="0.2">
      <c r="B122" s="67" t="str">
        <f t="shared" si="1"/>
        <v/>
      </c>
      <c r="C122" s="67" t="str">
        <f>IF(ISERROR(VLOOKUP(SMALL('Error Check Table-Hidden'!B:B,ROW(C122)-ROW($C$3)),ErrorCheckTable,3,FALSE)), "",(VLOOKUP(SMALL('Error Check Table-Hidden'!B:B,ROW(C122)-ROW($C$3)),ErrorCheckTable,3,FALSE)))</f>
        <v/>
      </c>
      <c r="D122" s="59" t="str">
        <f>IF(ISERROR(VLOOKUP(SMALL('Error Check Table-Hidden'!B:B,ROW(C122)-3),ErrorCheckTable,4,FALSE)), "",(VLOOKUP(SMALL('Error Check Table-Hidden'!B:B,ROW(C122)-3),ErrorCheckTable,4,FALSE)))</f>
        <v/>
      </c>
    </row>
    <row r="123" spans="2:4" x14ac:dyDescent="0.2">
      <c r="B123" s="67" t="str">
        <f t="shared" si="1"/>
        <v/>
      </c>
      <c r="C123" s="67" t="str">
        <f>IF(ISERROR(VLOOKUP(SMALL('Error Check Table-Hidden'!B:B,ROW(C123)-ROW($C$3)),ErrorCheckTable,3,FALSE)), "",(VLOOKUP(SMALL('Error Check Table-Hidden'!B:B,ROW(C123)-ROW($C$3)),ErrorCheckTable,3,FALSE)))</f>
        <v/>
      </c>
      <c r="D123" s="59" t="str">
        <f>IF(ISERROR(VLOOKUP(SMALL('Error Check Table-Hidden'!B:B,ROW(C123)-3),ErrorCheckTable,4,FALSE)), "",(VLOOKUP(SMALL('Error Check Table-Hidden'!B:B,ROW(C123)-3),ErrorCheckTable,4,FALSE)))</f>
        <v/>
      </c>
    </row>
    <row r="124" spans="2:4" x14ac:dyDescent="0.2">
      <c r="B124" s="67" t="str">
        <f t="shared" si="1"/>
        <v/>
      </c>
      <c r="C124" s="67" t="str">
        <f>IF(ISERROR(VLOOKUP(SMALL('Error Check Table-Hidden'!B:B,ROW(C124)-ROW($C$3)),ErrorCheckTable,3,FALSE)), "",(VLOOKUP(SMALL('Error Check Table-Hidden'!B:B,ROW(C124)-ROW($C$3)),ErrorCheckTable,3,FALSE)))</f>
        <v/>
      </c>
      <c r="D124" s="59" t="str">
        <f>IF(ISERROR(VLOOKUP(SMALL('Error Check Table-Hidden'!B:B,ROW(C124)-3),ErrorCheckTable,4,FALSE)), "",(VLOOKUP(SMALL('Error Check Table-Hidden'!B:B,ROW(C124)-3),ErrorCheckTable,4,FALSE)))</f>
        <v/>
      </c>
    </row>
    <row r="125" spans="2:4" x14ac:dyDescent="0.2">
      <c r="B125" s="67" t="str">
        <f t="shared" si="1"/>
        <v/>
      </c>
      <c r="C125" s="67" t="str">
        <f>IF(ISERROR(VLOOKUP(SMALL('Error Check Table-Hidden'!B:B,ROW(C125)-ROW($C$3)),ErrorCheckTable,3,FALSE)), "",(VLOOKUP(SMALL('Error Check Table-Hidden'!B:B,ROW(C125)-ROW($C$3)),ErrorCheckTable,3,FALSE)))</f>
        <v/>
      </c>
      <c r="D125" s="59" t="str">
        <f>IF(ISERROR(VLOOKUP(SMALL('Error Check Table-Hidden'!B:B,ROW(C125)-3),ErrorCheckTable,4,FALSE)), "",(VLOOKUP(SMALL('Error Check Table-Hidden'!B:B,ROW(C125)-3),ErrorCheckTable,4,FALSE)))</f>
        <v/>
      </c>
    </row>
    <row r="126" spans="2:4" x14ac:dyDescent="0.2">
      <c r="B126" s="67" t="str">
        <f t="shared" si="1"/>
        <v/>
      </c>
      <c r="C126" s="67" t="str">
        <f>IF(ISERROR(VLOOKUP(SMALL('Error Check Table-Hidden'!B:B,ROW(C126)-ROW($C$3)),ErrorCheckTable,3,FALSE)), "",(VLOOKUP(SMALL('Error Check Table-Hidden'!B:B,ROW(C126)-ROW($C$3)),ErrorCheckTable,3,FALSE)))</f>
        <v/>
      </c>
      <c r="D126" s="59" t="str">
        <f>IF(ISERROR(VLOOKUP(SMALL('Error Check Table-Hidden'!B:B,ROW(C126)-3),ErrorCheckTable,4,FALSE)), "",(VLOOKUP(SMALL('Error Check Table-Hidden'!B:B,ROW(C126)-3),ErrorCheckTable,4,FALSE)))</f>
        <v/>
      </c>
    </row>
    <row r="127" spans="2:4" x14ac:dyDescent="0.2">
      <c r="B127" s="67" t="str">
        <f t="shared" si="1"/>
        <v/>
      </c>
      <c r="C127" s="67" t="str">
        <f>IF(ISERROR(VLOOKUP(SMALL('Error Check Table-Hidden'!B:B,ROW(C127)-ROW($C$3)),ErrorCheckTable,3,FALSE)), "",(VLOOKUP(SMALL('Error Check Table-Hidden'!B:B,ROW(C127)-ROW($C$3)),ErrorCheckTable,3,FALSE)))</f>
        <v/>
      </c>
      <c r="D127" s="59" t="str">
        <f>IF(ISERROR(VLOOKUP(SMALL('Error Check Table-Hidden'!B:B,ROW(C127)-3),ErrorCheckTable,4,FALSE)), "",(VLOOKUP(SMALL('Error Check Table-Hidden'!B:B,ROW(C127)-3),ErrorCheckTable,4,FALSE)))</f>
        <v/>
      </c>
    </row>
    <row r="128" spans="2:4" x14ac:dyDescent="0.2">
      <c r="B128" s="67" t="str">
        <f t="shared" si="1"/>
        <v/>
      </c>
      <c r="C128" s="67" t="str">
        <f>IF(ISERROR(VLOOKUP(SMALL('Error Check Table-Hidden'!B:B,ROW(C128)-ROW($C$3)),ErrorCheckTable,3,FALSE)), "",(VLOOKUP(SMALL('Error Check Table-Hidden'!B:B,ROW(C128)-ROW($C$3)),ErrorCheckTable,3,FALSE)))</f>
        <v/>
      </c>
      <c r="D128" s="59" t="str">
        <f>IF(ISERROR(VLOOKUP(SMALL('Error Check Table-Hidden'!B:B,ROW(C128)-3),ErrorCheckTable,4,FALSE)), "",(VLOOKUP(SMALL('Error Check Table-Hidden'!B:B,ROW(C128)-3),ErrorCheckTable,4,FALSE)))</f>
        <v/>
      </c>
    </row>
    <row r="129" spans="2:4" x14ac:dyDescent="0.2">
      <c r="B129" s="67" t="str">
        <f t="shared" si="1"/>
        <v/>
      </c>
      <c r="C129" s="67" t="str">
        <f>IF(ISERROR(VLOOKUP(SMALL('Error Check Table-Hidden'!B:B,ROW(C129)-ROW($C$3)),ErrorCheckTable,3,FALSE)), "",(VLOOKUP(SMALL('Error Check Table-Hidden'!B:B,ROW(C129)-ROW($C$3)),ErrorCheckTable,3,FALSE)))</f>
        <v/>
      </c>
      <c r="D129" s="59" t="str">
        <f>IF(ISERROR(VLOOKUP(SMALL('Error Check Table-Hidden'!B:B,ROW(C129)-3),ErrorCheckTable,4,FALSE)), "",(VLOOKUP(SMALL('Error Check Table-Hidden'!B:B,ROW(C129)-3),ErrorCheckTable,4,FALSE)))</f>
        <v/>
      </c>
    </row>
    <row r="130" spans="2:4" x14ac:dyDescent="0.2">
      <c r="B130" s="67" t="str">
        <f t="shared" si="1"/>
        <v/>
      </c>
      <c r="C130" s="67" t="str">
        <f>IF(ISERROR(VLOOKUP(SMALL('Error Check Table-Hidden'!B:B,ROW(C130)-ROW($C$3)),ErrorCheckTable,3,FALSE)), "",(VLOOKUP(SMALL('Error Check Table-Hidden'!B:B,ROW(C130)-ROW($C$3)),ErrorCheckTable,3,FALSE)))</f>
        <v/>
      </c>
      <c r="D130" s="59" t="str">
        <f>IF(ISERROR(VLOOKUP(SMALL('Error Check Table-Hidden'!B:B,ROW(C130)-3),ErrorCheckTable,4,FALSE)), "",(VLOOKUP(SMALL('Error Check Table-Hidden'!B:B,ROW(C130)-3),ErrorCheckTable,4,FALSE)))</f>
        <v/>
      </c>
    </row>
    <row r="131" spans="2:4" x14ac:dyDescent="0.2">
      <c r="B131" s="67" t="str">
        <f t="shared" si="1"/>
        <v/>
      </c>
      <c r="C131" s="67" t="str">
        <f>IF(ISERROR(VLOOKUP(SMALL('Error Check Table-Hidden'!B:B,ROW(C131)-ROW($C$3)),ErrorCheckTable,3,FALSE)), "",(VLOOKUP(SMALL('Error Check Table-Hidden'!B:B,ROW(C131)-ROW($C$3)),ErrorCheckTable,3,FALSE)))</f>
        <v/>
      </c>
      <c r="D131" s="59" t="str">
        <f>IF(ISERROR(VLOOKUP(SMALL('Error Check Table-Hidden'!B:B,ROW(C131)-3),ErrorCheckTable,4,FALSE)), "",(VLOOKUP(SMALL('Error Check Table-Hidden'!B:B,ROW(C131)-3),ErrorCheckTable,4,FALSE)))</f>
        <v/>
      </c>
    </row>
    <row r="132" spans="2:4" x14ac:dyDescent="0.2">
      <c r="B132" s="67" t="str">
        <f t="shared" si="1"/>
        <v/>
      </c>
      <c r="C132" s="67" t="str">
        <f>IF(ISERROR(VLOOKUP(SMALL('Error Check Table-Hidden'!B:B,ROW(C132)-ROW($C$3)),ErrorCheckTable,3,FALSE)), "",(VLOOKUP(SMALL('Error Check Table-Hidden'!B:B,ROW(C132)-ROW($C$3)),ErrorCheckTable,3,FALSE)))</f>
        <v/>
      </c>
      <c r="D132" s="59" t="str">
        <f>IF(ISERROR(VLOOKUP(SMALL('Error Check Table-Hidden'!B:B,ROW(C132)-3),ErrorCheckTable,4,FALSE)), "",(VLOOKUP(SMALL('Error Check Table-Hidden'!B:B,ROW(C132)-3),ErrorCheckTable,4,FALSE)))</f>
        <v/>
      </c>
    </row>
    <row r="133" spans="2:4" x14ac:dyDescent="0.2">
      <c r="B133" s="67" t="str">
        <f t="shared" ref="B133:B196" si="2">IF(C133&lt;&gt;"",B132+1,"")</f>
        <v/>
      </c>
      <c r="C133" s="67" t="str">
        <f>IF(ISERROR(VLOOKUP(SMALL('Error Check Table-Hidden'!B:B,ROW(C133)-ROW($C$3)),ErrorCheckTable,3,FALSE)), "",(VLOOKUP(SMALL('Error Check Table-Hidden'!B:B,ROW(C133)-ROW($C$3)),ErrorCheckTable,3,FALSE)))</f>
        <v/>
      </c>
      <c r="D133" s="59" t="str">
        <f>IF(ISERROR(VLOOKUP(SMALL('Error Check Table-Hidden'!B:B,ROW(C133)-3),ErrorCheckTable,4,FALSE)), "",(VLOOKUP(SMALL('Error Check Table-Hidden'!B:B,ROW(C133)-3),ErrorCheckTable,4,FALSE)))</f>
        <v/>
      </c>
    </row>
    <row r="134" spans="2:4" x14ac:dyDescent="0.2">
      <c r="B134" s="67" t="str">
        <f t="shared" si="2"/>
        <v/>
      </c>
      <c r="C134" s="67" t="str">
        <f>IF(ISERROR(VLOOKUP(SMALL('Error Check Table-Hidden'!B:B,ROW(C134)-ROW($C$3)),ErrorCheckTable,3,FALSE)), "",(VLOOKUP(SMALL('Error Check Table-Hidden'!B:B,ROW(C134)-ROW($C$3)),ErrorCheckTable,3,FALSE)))</f>
        <v/>
      </c>
      <c r="D134" s="59" t="str">
        <f>IF(ISERROR(VLOOKUP(SMALL('Error Check Table-Hidden'!B:B,ROW(C134)-3),ErrorCheckTable,4,FALSE)), "",(VLOOKUP(SMALL('Error Check Table-Hidden'!B:B,ROW(C134)-3),ErrorCheckTable,4,FALSE)))</f>
        <v/>
      </c>
    </row>
    <row r="135" spans="2:4" x14ac:dyDescent="0.2">
      <c r="B135" s="67" t="str">
        <f t="shared" si="2"/>
        <v/>
      </c>
      <c r="C135" s="67" t="str">
        <f>IF(ISERROR(VLOOKUP(SMALL('Error Check Table-Hidden'!B:B,ROW(C135)-ROW($C$3)),ErrorCheckTable,3,FALSE)), "",(VLOOKUP(SMALL('Error Check Table-Hidden'!B:B,ROW(C135)-ROW($C$3)),ErrorCheckTable,3,FALSE)))</f>
        <v/>
      </c>
      <c r="D135" s="59" t="str">
        <f>IF(ISERROR(VLOOKUP(SMALL('Error Check Table-Hidden'!B:B,ROW(C135)-3),ErrorCheckTable,4,FALSE)), "",(VLOOKUP(SMALL('Error Check Table-Hidden'!B:B,ROW(C135)-3),ErrorCheckTable,4,FALSE)))</f>
        <v/>
      </c>
    </row>
    <row r="136" spans="2:4" x14ac:dyDescent="0.2">
      <c r="B136" s="67" t="str">
        <f t="shared" si="2"/>
        <v/>
      </c>
      <c r="C136" s="67" t="str">
        <f>IF(ISERROR(VLOOKUP(SMALL('Error Check Table-Hidden'!B:B,ROW(C136)-ROW($C$3)),ErrorCheckTable,3,FALSE)), "",(VLOOKUP(SMALL('Error Check Table-Hidden'!B:B,ROW(C136)-ROW($C$3)),ErrorCheckTable,3,FALSE)))</f>
        <v/>
      </c>
      <c r="D136" s="59" t="str">
        <f>IF(ISERROR(VLOOKUP(SMALL('Error Check Table-Hidden'!B:B,ROW(C136)-3),ErrorCheckTable,4,FALSE)), "",(VLOOKUP(SMALL('Error Check Table-Hidden'!B:B,ROW(C136)-3),ErrorCheckTable,4,FALSE)))</f>
        <v/>
      </c>
    </row>
    <row r="137" spans="2:4" x14ac:dyDescent="0.2">
      <c r="B137" s="67" t="str">
        <f t="shared" si="2"/>
        <v/>
      </c>
      <c r="C137" s="67" t="str">
        <f>IF(ISERROR(VLOOKUP(SMALL('Error Check Table-Hidden'!B:B,ROW(C137)-ROW($C$3)),ErrorCheckTable,3,FALSE)), "",(VLOOKUP(SMALL('Error Check Table-Hidden'!B:B,ROW(C137)-ROW($C$3)),ErrorCheckTable,3,FALSE)))</f>
        <v/>
      </c>
      <c r="D137" s="59" t="str">
        <f>IF(ISERROR(VLOOKUP(SMALL('Error Check Table-Hidden'!B:B,ROW(C137)-3),ErrorCheckTable,4,FALSE)), "",(VLOOKUP(SMALL('Error Check Table-Hidden'!B:B,ROW(C137)-3),ErrorCheckTable,4,FALSE)))</f>
        <v/>
      </c>
    </row>
    <row r="138" spans="2:4" x14ac:dyDescent="0.2">
      <c r="B138" s="67" t="str">
        <f t="shared" si="2"/>
        <v/>
      </c>
      <c r="C138" s="67" t="str">
        <f>IF(ISERROR(VLOOKUP(SMALL('Error Check Table-Hidden'!B:B,ROW(C138)-ROW($C$3)),ErrorCheckTable,3,FALSE)), "",(VLOOKUP(SMALL('Error Check Table-Hidden'!B:B,ROW(C138)-ROW($C$3)),ErrorCheckTable,3,FALSE)))</f>
        <v/>
      </c>
      <c r="D138" s="59" t="str">
        <f>IF(ISERROR(VLOOKUP(SMALL('Error Check Table-Hidden'!B:B,ROW(C138)-3),ErrorCheckTable,4,FALSE)), "",(VLOOKUP(SMALL('Error Check Table-Hidden'!B:B,ROW(C138)-3),ErrorCheckTable,4,FALSE)))</f>
        <v/>
      </c>
    </row>
    <row r="139" spans="2:4" x14ac:dyDescent="0.2">
      <c r="B139" s="67" t="str">
        <f t="shared" si="2"/>
        <v/>
      </c>
      <c r="C139" s="67" t="str">
        <f>IF(ISERROR(VLOOKUP(SMALL('Error Check Table-Hidden'!B:B,ROW(C139)-ROW($C$3)),ErrorCheckTable,3,FALSE)), "",(VLOOKUP(SMALL('Error Check Table-Hidden'!B:B,ROW(C139)-ROW($C$3)),ErrorCheckTable,3,FALSE)))</f>
        <v/>
      </c>
      <c r="D139" s="59" t="str">
        <f>IF(ISERROR(VLOOKUP(SMALL('Error Check Table-Hidden'!B:B,ROW(C139)-3),ErrorCheckTable,4,FALSE)), "",(VLOOKUP(SMALL('Error Check Table-Hidden'!B:B,ROW(C139)-3),ErrorCheckTable,4,FALSE)))</f>
        <v/>
      </c>
    </row>
    <row r="140" spans="2:4" x14ac:dyDescent="0.2">
      <c r="B140" s="67" t="str">
        <f t="shared" si="2"/>
        <v/>
      </c>
      <c r="C140" s="67" t="str">
        <f>IF(ISERROR(VLOOKUP(SMALL('Error Check Table-Hidden'!B:B,ROW(C140)-ROW($C$3)),ErrorCheckTable,3,FALSE)), "",(VLOOKUP(SMALL('Error Check Table-Hidden'!B:B,ROW(C140)-ROW($C$3)),ErrorCheckTable,3,FALSE)))</f>
        <v/>
      </c>
      <c r="D140" s="59" t="str">
        <f>IF(ISERROR(VLOOKUP(SMALL('Error Check Table-Hidden'!B:B,ROW(C140)-3),ErrorCheckTable,4,FALSE)), "",(VLOOKUP(SMALL('Error Check Table-Hidden'!B:B,ROW(C140)-3),ErrorCheckTable,4,FALSE)))</f>
        <v/>
      </c>
    </row>
    <row r="141" spans="2:4" x14ac:dyDescent="0.2">
      <c r="B141" s="67" t="str">
        <f t="shared" si="2"/>
        <v/>
      </c>
      <c r="C141" s="67" t="str">
        <f>IF(ISERROR(VLOOKUP(SMALL('Error Check Table-Hidden'!B:B,ROW(C141)-ROW($C$3)),ErrorCheckTable,3,FALSE)), "",(VLOOKUP(SMALL('Error Check Table-Hidden'!B:B,ROW(C141)-ROW($C$3)),ErrorCheckTable,3,FALSE)))</f>
        <v/>
      </c>
      <c r="D141" s="59" t="str">
        <f>IF(ISERROR(VLOOKUP(SMALL('Error Check Table-Hidden'!B:B,ROW(C141)-3),ErrorCheckTable,4,FALSE)), "",(VLOOKUP(SMALL('Error Check Table-Hidden'!B:B,ROW(C141)-3),ErrorCheckTable,4,FALSE)))</f>
        <v/>
      </c>
    </row>
    <row r="142" spans="2:4" x14ac:dyDescent="0.2">
      <c r="B142" s="67" t="str">
        <f t="shared" si="2"/>
        <v/>
      </c>
      <c r="C142" s="67" t="str">
        <f>IF(ISERROR(VLOOKUP(SMALL('Error Check Table-Hidden'!B:B,ROW(C142)-ROW($C$3)),ErrorCheckTable,3,FALSE)), "",(VLOOKUP(SMALL('Error Check Table-Hidden'!B:B,ROW(C142)-ROW($C$3)),ErrorCheckTable,3,FALSE)))</f>
        <v/>
      </c>
      <c r="D142" s="59" t="str">
        <f>IF(ISERROR(VLOOKUP(SMALL('Error Check Table-Hidden'!B:B,ROW(C142)-3),ErrorCheckTable,4,FALSE)), "",(VLOOKUP(SMALL('Error Check Table-Hidden'!B:B,ROW(C142)-3),ErrorCheckTable,4,FALSE)))</f>
        <v/>
      </c>
    </row>
    <row r="143" spans="2:4" x14ac:dyDescent="0.2">
      <c r="B143" s="67" t="str">
        <f t="shared" si="2"/>
        <v/>
      </c>
      <c r="C143" s="67" t="str">
        <f>IF(ISERROR(VLOOKUP(SMALL('Error Check Table-Hidden'!B:B,ROW(C143)-ROW($C$3)),ErrorCheckTable,3,FALSE)), "",(VLOOKUP(SMALL('Error Check Table-Hidden'!B:B,ROW(C143)-ROW($C$3)),ErrorCheckTable,3,FALSE)))</f>
        <v/>
      </c>
      <c r="D143" s="59" t="str">
        <f>IF(ISERROR(VLOOKUP(SMALL('Error Check Table-Hidden'!B:B,ROW(C143)-3),ErrorCheckTable,4,FALSE)), "",(VLOOKUP(SMALL('Error Check Table-Hidden'!B:B,ROW(C143)-3),ErrorCheckTable,4,FALSE)))</f>
        <v/>
      </c>
    </row>
    <row r="144" spans="2:4" x14ac:dyDescent="0.2">
      <c r="B144" s="67" t="str">
        <f t="shared" si="2"/>
        <v/>
      </c>
      <c r="C144" s="67" t="str">
        <f>IF(ISERROR(VLOOKUP(SMALL('Error Check Table-Hidden'!B:B,ROW(C144)-ROW($C$3)),ErrorCheckTable,3,FALSE)), "",(VLOOKUP(SMALL('Error Check Table-Hidden'!B:B,ROW(C144)-ROW($C$3)),ErrorCheckTable,3,FALSE)))</f>
        <v/>
      </c>
      <c r="D144" s="59" t="str">
        <f>IF(ISERROR(VLOOKUP(SMALL('Error Check Table-Hidden'!B:B,ROW(C144)-3),ErrorCheckTable,4,FALSE)), "",(VLOOKUP(SMALL('Error Check Table-Hidden'!B:B,ROW(C144)-3),ErrorCheckTable,4,FALSE)))</f>
        <v/>
      </c>
    </row>
    <row r="145" spans="2:4" x14ac:dyDescent="0.2">
      <c r="B145" s="67" t="str">
        <f t="shared" si="2"/>
        <v/>
      </c>
      <c r="C145" s="67" t="str">
        <f>IF(ISERROR(VLOOKUP(SMALL('Error Check Table-Hidden'!B:B,ROW(C145)-ROW($C$3)),ErrorCheckTable,3,FALSE)), "",(VLOOKUP(SMALL('Error Check Table-Hidden'!B:B,ROW(C145)-ROW($C$3)),ErrorCheckTable,3,FALSE)))</f>
        <v/>
      </c>
      <c r="D145" s="59" t="str">
        <f>IF(ISERROR(VLOOKUP(SMALL('Error Check Table-Hidden'!B:B,ROW(C145)-3),ErrorCheckTable,4,FALSE)), "",(VLOOKUP(SMALL('Error Check Table-Hidden'!B:B,ROW(C145)-3),ErrorCheckTable,4,FALSE)))</f>
        <v/>
      </c>
    </row>
    <row r="146" spans="2:4" x14ac:dyDescent="0.2">
      <c r="B146" s="67" t="str">
        <f t="shared" si="2"/>
        <v/>
      </c>
      <c r="C146" s="67" t="str">
        <f>IF(ISERROR(VLOOKUP(SMALL('Error Check Table-Hidden'!B:B,ROW(C146)-ROW($C$3)),ErrorCheckTable,3,FALSE)), "",(VLOOKUP(SMALL('Error Check Table-Hidden'!B:B,ROW(C146)-ROW($C$3)),ErrorCheckTable,3,FALSE)))</f>
        <v/>
      </c>
      <c r="D146" s="59" t="str">
        <f>IF(ISERROR(VLOOKUP(SMALL('Error Check Table-Hidden'!B:B,ROW(C146)-3),ErrorCheckTable,4,FALSE)), "",(VLOOKUP(SMALL('Error Check Table-Hidden'!B:B,ROW(C146)-3),ErrorCheckTable,4,FALSE)))</f>
        <v/>
      </c>
    </row>
    <row r="147" spans="2:4" x14ac:dyDescent="0.2">
      <c r="B147" s="67" t="str">
        <f t="shared" si="2"/>
        <v/>
      </c>
      <c r="C147" s="67" t="str">
        <f>IF(ISERROR(VLOOKUP(SMALL('Error Check Table-Hidden'!B:B,ROW(C147)-ROW($C$3)),ErrorCheckTable,3,FALSE)), "",(VLOOKUP(SMALL('Error Check Table-Hidden'!B:B,ROW(C147)-ROW($C$3)),ErrorCheckTable,3,FALSE)))</f>
        <v/>
      </c>
      <c r="D147" s="59" t="str">
        <f>IF(ISERROR(VLOOKUP(SMALL('Error Check Table-Hidden'!B:B,ROW(C147)-3),ErrorCheckTable,4,FALSE)), "",(VLOOKUP(SMALL('Error Check Table-Hidden'!B:B,ROW(C147)-3),ErrorCheckTable,4,FALSE)))</f>
        <v/>
      </c>
    </row>
    <row r="148" spans="2:4" x14ac:dyDescent="0.2">
      <c r="B148" s="67" t="str">
        <f t="shared" si="2"/>
        <v/>
      </c>
      <c r="C148" s="67" t="str">
        <f>IF(ISERROR(VLOOKUP(SMALL('Error Check Table-Hidden'!B:B,ROW(C148)-ROW($C$3)),ErrorCheckTable,3,FALSE)), "",(VLOOKUP(SMALL('Error Check Table-Hidden'!B:B,ROW(C148)-ROW($C$3)),ErrorCheckTable,3,FALSE)))</f>
        <v/>
      </c>
      <c r="D148" s="59" t="str">
        <f>IF(ISERROR(VLOOKUP(SMALL('Error Check Table-Hidden'!B:B,ROW(C148)-3),ErrorCheckTable,4,FALSE)), "",(VLOOKUP(SMALL('Error Check Table-Hidden'!B:B,ROW(C148)-3),ErrorCheckTable,4,FALSE)))</f>
        <v/>
      </c>
    </row>
    <row r="149" spans="2:4" x14ac:dyDescent="0.2">
      <c r="B149" s="67" t="str">
        <f t="shared" si="2"/>
        <v/>
      </c>
      <c r="C149" s="67" t="str">
        <f>IF(ISERROR(VLOOKUP(SMALL('Error Check Table-Hidden'!B:B,ROW(C149)-ROW($C$3)),ErrorCheckTable,3,FALSE)), "",(VLOOKUP(SMALL('Error Check Table-Hidden'!B:B,ROW(C149)-ROW($C$3)),ErrorCheckTable,3,FALSE)))</f>
        <v/>
      </c>
      <c r="D149" s="59" t="str">
        <f>IF(ISERROR(VLOOKUP(SMALL('Error Check Table-Hidden'!B:B,ROW(C149)-3),ErrorCheckTable,4,FALSE)), "",(VLOOKUP(SMALL('Error Check Table-Hidden'!B:B,ROW(C149)-3),ErrorCheckTable,4,FALSE)))</f>
        <v/>
      </c>
    </row>
    <row r="150" spans="2:4" x14ac:dyDescent="0.2">
      <c r="B150" s="67" t="str">
        <f t="shared" si="2"/>
        <v/>
      </c>
      <c r="C150" s="67" t="str">
        <f>IF(ISERROR(VLOOKUP(SMALL('Error Check Table-Hidden'!B:B,ROW(C150)-ROW($C$3)),ErrorCheckTable,3,FALSE)), "",(VLOOKUP(SMALL('Error Check Table-Hidden'!B:B,ROW(C150)-ROW($C$3)),ErrorCheckTable,3,FALSE)))</f>
        <v/>
      </c>
      <c r="D150" s="59" t="str">
        <f>IF(ISERROR(VLOOKUP(SMALL('Error Check Table-Hidden'!B:B,ROW(C150)-3),ErrorCheckTable,4,FALSE)), "",(VLOOKUP(SMALL('Error Check Table-Hidden'!B:B,ROW(C150)-3),ErrorCheckTable,4,FALSE)))</f>
        <v/>
      </c>
    </row>
    <row r="151" spans="2:4" x14ac:dyDescent="0.2">
      <c r="B151" s="67" t="str">
        <f t="shared" si="2"/>
        <v/>
      </c>
      <c r="C151" s="67" t="str">
        <f>IF(ISERROR(VLOOKUP(SMALL('Error Check Table-Hidden'!B:B,ROW(C151)-ROW($C$3)),ErrorCheckTable,3,FALSE)), "",(VLOOKUP(SMALL('Error Check Table-Hidden'!B:B,ROW(C151)-ROW($C$3)),ErrorCheckTable,3,FALSE)))</f>
        <v/>
      </c>
      <c r="D151" s="59" t="str">
        <f>IF(ISERROR(VLOOKUP(SMALL('Error Check Table-Hidden'!B:B,ROW(C151)-3),ErrorCheckTable,4,FALSE)), "",(VLOOKUP(SMALL('Error Check Table-Hidden'!B:B,ROW(C151)-3),ErrorCheckTable,4,FALSE)))</f>
        <v/>
      </c>
    </row>
    <row r="152" spans="2:4" x14ac:dyDescent="0.2">
      <c r="B152" s="67" t="str">
        <f t="shared" si="2"/>
        <v/>
      </c>
      <c r="C152" s="67" t="str">
        <f>IF(ISERROR(VLOOKUP(SMALL('Error Check Table-Hidden'!B:B,ROW(C152)-ROW($C$3)),ErrorCheckTable,3,FALSE)), "",(VLOOKUP(SMALL('Error Check Table-Hidden'!B:B,ROW(C152)-ROW($C$3)),ErrorCheckTable,3,FALSE)))</f>
        <v/>
      </c>
      <c r="D152" s="59" t="str">
        <f>IF(ISERROR(VLOOKUP(SMALL('Error Check Table-Hidden'!B:B,ROW(C152)-3),ErrorCheckTable,4,FALSE)), "",(VLOOKUP(SMALL('Error Check Table-Hidden'!B:B,ROW(C152)-3),ErrorCheckTable,4,FALSE)))</f>
        <v/>
      </c>
    </row>
    <row r="153" spans="2:4" x14ac:dyDescent="0.2">
      <c r="B153" s="67" t="str">
        <f t="shared" si="2"/>
        <v/>
      </c>
      <c r="C153" s="67" t="str">
        <f>IF(ISERROR(VLOOKUP(SMALL('Error Check Table-Hidden'!B:B,ROW(C153)-ROW($C$3)),ErrorCheckTable,3,FALSE)), "",(VLOOKUP(SMALL('Error Check Table-Hidden'!B:B,ROW(C153)-ROW($C$3)),ErrorCheckTable,3,FALSE)))</f>
        <v/>
      </c>
      <c r="D153" s="59" t="str">
        <f>IF(ISERROR(VLOOKUP(SMALL('Error Check Table-Hidden'!B:B,ROW(C153)-3),ErrorCheckTable,4,FALSE)), "",(VLOOKUP(SMALL('Error Check Table-Hidden'!B:B,ROW(C153)-3),ErrorCheckTable,4,FALSE)))</f>
        <v/>
      </c>
    </row>
    <row r="154" spans="2:4" x14ac:dyDescent="0.2">
      <c r="B154" s="67" t="str">
        <f t="shared" si="2"/>
        <v/>
      </c>
      <c r="C154" s="67" t="str">
        <f>IF(ISERROR(VLOOKUP(SMALL('Error Check Table-Hidden'!B:B,ROW(C154)-ROW($C$3)),ErrorCheckTable,3,FALSE)), "",(VLOOKUP(SMALL('Error Check Table-Hidden'!B:B,ROW(C154)-ROW($C$3)),ErrorCheckTable,3,FALSE)))</f>
        <v/>
      </c>
      <c r="D154" s="59" t="str">
        <f>IF(ISERROR(VLOOKUP(SMALL('Error Check Table-Hidden'!B:B,ROW(C154)-3),ErrorCheckTable,4,FALSE)), "",(VLOOKUP(SMALL('Error Check Table-Hidden'!B:B,ROW(C154)-3),ErrorCheckTable,4,FALSE)))</f>
        <v/>
      </c>
    </row>
    <row r="155" spans="2:4" x14ac:dyDescent="0.2">
      <c r="B155" s="67" t="str">
        <f t="shared" si="2"/>
        <v/>
      </c>
      <c r="C155" s="67" t="str">
        <f>IF(ISERROR(VLOOKUP(SMALL('Error Check Table-Hidden'!B:B,ROW(C155)-ROW($C$3)),ErrorCheckTable,3,FALSE)), "",(VLOOKUP(SMALL('Error Check Table-Hidden'!B:B,ROW(C155)-ROW($C$3)),ErrorCheckTable,3,FALSE)))</f>
        <v/>
      </c>
      <c r="D155" s="59" t="str">
        <f>IF(ISERROR(VLOOKUP(SMALL('Error Check Table-Hidden'!B:B,ROW(C155)-3),ErrorCheckTable,4,FALSE)), "",(VLOOKUP(SMALL('Error Check Table-Hidden'!B:B,ROW(C155)-3),ErrorCheckTable,4,FALSE)))</f>
        <v/>
      </c>
    </row>
    <row r="156" spans="2:4" x14ac:dyDescent="0.2">
      <c r="B156" s="67" t="str">
        <f t="shared" si="2"/>
        <v/>
      </c>
      <c r="C156" s="67" t="str">
        <f>IF(ISERROR(VLOOKUP(SMALL('Error Check Table-Hidden'!B:B,ROW(C156)-ROW($C$3)),ErrorCheckTable,3,FALSE)), "",(VLOOKUP(SMALL('Error Check Table-Hidden'!B:B,ROW(C156)-ROW($C$3)),ErrorCheckTable,3,FALSE)))</f>
        <v/>
      </c>
      <c r="D156" s="59" t="str">
        <f>IF(ISERROR(VLOOKUP(SMALL('Error Check Table-Hidden'!B:B,ROW(C156)-3),ErrorCheckTable,4,FALSE)), "",(VLOOKUP(SMALL('Error Check Table-Hidden'!B:B,ROW(C156)-3),ErrorCheckTable,4,FALSE)))</f>
        <v/>
      </c>
    </row>
    <row r="157" spans="2:4" x14ac:dyDescent="0.2">
      <c r="B157" s="67" t="str">
        <f t="shared" si="2"/>
        <v/>
      </c>
      <c r="C157" s="67" t="str">
        <f>IF(ISERROR(VLOOKUP(SMALL('Error Check Table-Hidden'!B:B,ROW(C157)-ROW($C$3)),ErrorCheckTable,3,FALSE)), "",(VLOOKUP(SMALL('Error Check Table-Hidden'!B:B,ROW(C157)-ROW($C$3)),ErrorCheckTable,3,FALSE)))</f>
        <v/>
      </c>
      <c r="D157" s="59" t="str">
        <f>IF(ISERROR(VLOOKUP(SMALL('Error Check Table-Hidden'!B:B,ROW(C157)-3),ErrorCheckTable,4,FALSE)), "",(VLOOKUP(SMALL('Error Check Table-Hidden'!B:B,ROW(C157)-3),ErrorCheckTable,4,FALSE)))</f>
        <v/>
      </c>
    </row>
    <row r="158" spans="2:4" x14ac:dyDescent="0.2">
      <c r="B158" s="67" t="str">
        <f t="shared" si="2"/>
        <v/>
      </c>
      <c r="C158" s="67" t="str">
        <f>IF(ISERROR(VLOOKUP(SMALL('Error Check Table-Hidden'!B:B,ROW(C158)-ROW($C$3)),ErrorCheckTable,3,FALSE)), "",(VLOOKUP(SMALL('Error Check Table-Hidden'!B:B,ROW(C158)-ROW($C$3)),ErrorCheckTable,3,FALSE)))</f>
        <v/>
      </c>
      <c r="D158" s="59" t="str">
        <f>IF(ISERROR(VLOOKUP(SMALL('Error Check Table-Hidden'!B:B,ROW(C158)-3),ErrorCheckTable,4,FALSE)), "",(VLOOKUP(SMALL('Error Check Table-Hidden'!B:B,ROW(C158)-3),ErrorCheckTable,4,FALSE)))</f>
        <v/>
      </c>
    </row>
    <row r="159" spans="2:4" x14ac:dyDescent="0.2">
      <c r="B159" s="67" t="str">
        <f t="shared" si="2"/>
        <v/>
      </c>
      <c r="C159" s="67" t="str">
        <f>IF(ISERROR(VLOOKUP(SMALL('Error Check Table-Hidden'!B:B,ROW(C159)-ROW($C$3)),ErrorCheckTable,3,FALSE)), "",(VLOOKUP(SMALL('Error Check Table-Hidden'!B:B,ROW(C159)-ROW($C$3)),ErrorCheckTable,3,FALSE)))</f>
        <v/>
      </c>
      <c r="D159" s="59" t="str">
        <f>IF(ISERROR(VLOOKUP(SMALL('Error Check Table-Hidden'!B:B,ROW(C159)-3),ErrorCheckTable,4,FALSE)), "",(VLOOKUP(SMALL('Error Check Table-Hidden'!B:B,ROW(C159)-3),ErrorCheckTable,4,FALSE)))</f>
        <v/>
      </c>
    </row>
    <row r="160" spans="2:4" x14ac:dyDescent="0.2">
      <c r="B160" s="67" t="str">
        <f t="shared" si="2"/>
        <v/>
      </c>
      <c r="C160" s="67" t="str">
        <f>IF(ISERROR(VLOOKUP(SMALL('Error Check Table-Hidden'!B:B,ROW(C160)-ROW($C$3)),ErrorCheckTable,3,FALSE)), "",(VLOOKUP(SMALL('Error Check Table-Hidden'!B:B,ROW(C160)-ROW($C$3)),ErrorCheckTable,3,FALSE)))</f>
        <v/>
      </c>
      <c r="D160" s="59" t="str">
        <f>IF(ISERROR(VLOOKUP(SMALL('Error Check Table-Hidden'!B:B,ROW(C160)-3),ErrorCheckTable,4,FALSE)), "",(VLOOKUP(SMALL('Error Check Table-Hidden'!B:B,ROW(C160)-3),ErrorCheckTable,4,FALSE)))</f>
        <v/>
      </c>
    </row>
    <row r="161" spans="2:4" x14ac:dyDescent="0.2">
      <c r="B161" s="67" t="str">
        <f t="shared" si="2"/>
        <v/>
      </c>
      <c r="C161" s="67" t="str">
        <f>IF(ISERROR(VLOOKUP(SMALL('Error Check Table-Hidden'!B:B,ROW(C161)-ROW($C$3)),ErrorCheckTable,3,FALSE)), "",(VLOOKUP(SMALL('Error Check Table-Hidden'!B:B,ROW(C161)-ROW($C$3)),ErrorCheckTable,3,FALSE)))</f>
        <v/>
      </c>
      <c r="D161" s="59" t="str">
        <f>IF(ISERROR(VLOOKUP(SMALL('Error Check Table-Hidden'!B:B,ROW(C161)-3),ErrorCheckTable,4,FALSE)), "",(VLOOKUP(SMALL('Error Check Table-Hidden'!B:B,ROW(C161)-3),ErrorCheckTable,4,FALSE)))</f>
        <v/>
      </c>
    </row>
    <row r="162" spans="2:4" x14ac:dyDescent="0.2">
      <c r="B162" s="67" t="str">
        <f t="shared" si="2"/>
        <v/>
      </c>
      <c r="C162" s="67" t="str">
        <f>IF(ISERROR(VLOOKUP(SMALL('Error Check Table-Hidden'!B:B,ROW(C162)-ROW($C$3)),ErrorCheckTable,3,FALSE)), "",(VLOOKUP(SMALL('Error Check Table-Hidden'!B:B,ROW(C162)-ROW($C$3)),ErrorCheckTable,3,FALSE)))</f>
        <v/>
      </c>
      <c r="D162" s="59" t="str">
        <f>IF(ISERROR(VLOOKUP(SMALL('Error Check Table-Hidden'!B:B,ROW(C162)-3),ErrorCheckTable,4,FALSE)), "",(VLOOKUP(SMALL('Error Check Table-Hidden'!B:B,ROW(C162)-3),ErrorCheckTable,4,FALSE)))</f>
        <v/>
      </c>
    </row>
    <row r="163" spans="2:4" x14ac:dyDescent="0.2">
      <c r="B163" s="67" t="str">
        <f t="shared" si="2"/>
        <v/>
      </c>
      <c r="C163" s="67" t="str">
        <f>IF(ISERROR(VLOOKUP(SMALL('Error Check Table-Hidden'!B:B,ROW(C163)-ROW($C$3)),ErrorCheckTable,3,FALSE)), "",(VLOOKUP(SMALL('Error Check Table-Hidden'!B:B,ROW(C163)-ROW($C$3)),ErrorCheckTable,3,FALSE)))</f>
        <v/>
      </c>
      <c r="D163" s="59" t="str">
        <f>IF(ISERROR(VLOOKUP(SMALL('Error Check Table-Hidden'!B:B,ROW(C163)-3),ErrorCheckTable,4,FALSE)), "",(VLOOKUP(SMALL('Error Check Table-Hidden'!B:B,ROW(C163)-3),ErrorCheckTable,4,FALSE)))</f>
        <v/>
      </c>
    </row>
    <row r="164" spans="2:4" x14ac:dyDescent="0.2">
      <c r="B164" s="67" t="str">
        <f t="shared" si="2"/>
        <v/>
      </c>
      <c r="C164" s="67" t="str">
        <f>IF(ISERROR(VLOOKUP(SMALL('Error Check Table-Hidden'!B:B,ROW(C164)-ROW($C$3)),ErrorCheckTable,3,FALSE)), "",(VLOOKUP(SMALL('Error Check Table-Hidden'!B:B,ROW(C164)-ROW($C$3)),ErrorCheckTable,3,FALSE)))</f>
        <v/>
      </c>
      <c r="D164" s="59" t="str">
        <f>IF(ISERROR(VLOOKUP(SMALL('Error Check Table-Hidden'!B:B,ROW(C164)-3),ErrorCheckTable,4,FALSE)), "",(VLOOKUP(SMALL('Error Check Table-Hidden'!B:B,ROW(C164)-3),ErrorCheckTable,4,FALSE)))</f>
        <v/>
      </c>
    </row>
    <row r="165" spans="2:4" x14ac:dyDescent="0.2">
      <c r="B165" s="67" t="str">
        <f t="shared" si="2"/>
        <v/>
      </c>
      <c r="C165" s="67" t="str">
        <f>IF(ISERROR(VLOOKUP(SMALL('Error Check Table-Hidden'!B:B,ROW(C165)-ROW($C$3)),ErrorCheckTable,3,FALSE)), "",(VLOOKUP(SMALL('Error Check Table-Hidden'!B:B,ROW(C165)-ROW($C$3)),ErrorCheckTable,3,FALSE)))</f>
        <v/>
      </c>
      <c r="D165" s="59" t="str">
        <f>IF(ISERROR(VLOOKUP(SMALL('Error Check Table-Hidden'!B:B,ROW(C165)-3),ErrorCheckTable,4,FALSE)), "",(VLOOKUP(SMALL('Error Check Table-Hidden'!B:B,ROW(C165)-3),ErrorCheckTable,4,FALSE)))</f>
        <v/>
      </c>
    </row>
    <row r="166" spans="2:4" x14ac:dyDescent="0.2">
      <c r="B166" s="67" t="str">
        <f t="shared" si="2"/>
        <v/>
      </c>
      <c r="C166" s="67" t="str">
        <f>IF(ISERROR(VLOOKUP(SMALL('Error Check Table-Hidden'!B:B,ROW(C166)-ROW($C$3)),ErrorCheckTable,3,FALSE)), "",(VLOOKUP(SMALL('Error Check Table-Hidden'!B:B,ROW(C166)-ROW($C$3)),ErrorCheckTable,3,FALSE)))</f>
        <v/>
      </c>
      <c r="D166" s="59" t="str">
        <f>IF(ISERROR(VLOOKUP(SMALL('Error Check Table-Hidden'!B:B,ROW(C166)-3),ErrorCheckTable,4,FALSE)), "",(VLOOKUP(SMALL('Error Check Table-Hidden'!B:B,ROW(C166)-3),ErrorCheckTable,4,FALSE)))</f>
        <v/>
      </c>
    </row>
    <row r="167" spans="2:4" x14ac:dyDescent="0.2">
      <c r="B167" s="67" t="str">
        <f t="shared" si="2"/>
        <v/>
      </c>
      <c r="C167" s="67" t="str">
        <f>IF(ISERROR(VLOOKUP(SMALL('Error Check Table-Hidden'!B:B,ROW(C167)-ROW($C$3)),ErrorCheckTable,3,FALSE)), "",(VLOOKUP(SMALL('Error Check Table-Hidden'!B:B,ROW(C167)-ROW($C$3)),ErrorCheckTable,3,FALSE)))</f>
        <v/>
      </c>
      <c r="D167" s="59" t="str">
        <f>IF(ISERROR(VLOOKUP(SMALL('Error Check Table-Hidden'!B:B,ROW(C167)-3),ErrorCheckTable,4,FALSE)), "",(VLOOKUP(SMALL('Error Check Table-Hidden'!B:B,ROW(C167)-3),ErrorCheckTable,4,FALSE)))</f>
        <v/>
      </c>
    </row>
    <row r="168" spans="2:4" x14ac:dyDescent="0.2">
      <c r="B168" s="67" t="str">
        <f t="shared" si="2"/>
        <v/>
      </c>
      <c r="C168" s="67" t="str">
        <f>IF(ISERROR(VLOOKUP(SMALL('Error Check Table-Hidden'!B:B,ROW(C168)-ROW($C$3)),ErrorCheckTable,3,FALSE)), "",(VLOOKUP(SMALL('Error Check Table-Hidden'!B:B,ROW(C168)-ROW($C$3)),ErrorCheckTable,3,FALSE)))</f>
        <v/>
      </c>
      <c r="D168" s="59" t="str">
        <f>IF(ISERROR(VLOOKUP(SMALL('Error Check Table-Hidden'!B:B,ROW(C168)-3),ErrorCheckTable,4,FALSE)), "",(VLOOKUP(SMALL('Error Check Table-Hidden'!B:B,ROW(C168)-3),ErrorCheckTable,4,FALSE)))</f>
        <v/>
      </c>
    </row>
    <row r="169" spans="2:4" x14ac:dyDescent="0.2">
      <c r="B169" s="67" t="str">
        <f t="shared" si="2"/>
        <v/>
      </c>
      <c r="C169" s="67" t="str">
        <f>IF(ISERROR(VLOOKUP(SMALL('Error Check Table-Hidden'!B:B,ROW(C169)-ROW($C$3)),ErrorCheckTable,3,FALSE)), "",(VLOOKUP(SMALL('Error Check Table-Hidden'!B:B,ROW(C169)-ROW($C$3)),ErrorCheckTable,3,FALSE)))</f>
        <v/>
      </c>
      <c r="D169" s="59" t="str">
        <f>IF(ISERROR(VLOOKUP(SMALL('Error Check Table-Hidden'!B:B,ROW(C169)-3),ErrorCheckTable,4,FALSE)), "",(VLOOKUP(SMALL('Error Check Table-Hidden'!B:B,ROW(C169)-3),ErrorCheckTable,4,FALSE)))</f>
        <v/>
      </c>
    </row>
    <row r="170" spans="2:4" x14ac:dyDescent="0.2">
      <c r="B170" s="67" t="str">
        <f t="shared" si="2"/>
        <v/>
      </c>
      <c r="C170" s="67" t="str">
        <f>IF(ISERROR(VLOOKUP(SMALL('Error Check Table-Hidden'!B:B,ROW(C170)-ROW($C$3)),ErrorCheckTable,3,FALSE)), "",(VLOOKUP(SMALL('Error Check Table-Hidden'!B:B,ROW(C170)-ROW($C$3)),ErrorCheckTable,3,FALSE)))</f>
        <v/>
      </c>
      <c r="D170" s="59" t="str">
        <f>IF(ISERROR(VLOOKUP(SMALL('Error Check Table-Hidden'!B:B,ROW(C170)-3),ErrorCheckTable,4,FALSE)), "",(VLOOKUP(SMALL('Error Check Table-Hidden'!B:B,ROW(C170)-3),ErrorCheckTable,4,FALSE)))</f>
        <v/>
      </c>
    </row>
    <row r="171" spans="2:4" x14ac:dyDescent="0.2">
      <c r="B171" s="67" t="str">
        <f t="shared" si="2"/>
        <v/>
      </c>
      <c r="C171" s="67" t="str">
        <f>IF(ISERROR(VLOOKUP(SMALL('Error Check Table-Hidden'!B:B,ROW(C171)-ROW($C$3)),ErrorCheckTable,3,FALSE)), "",(VLOOKUP(SMALL('Error Check Table-Hidden'!B:B,ROW(C171)-ROW($C$3)),ErrorCheckTable,3,FALSE)))</f>
        <v/>
      </c>
      <c r="D171" s="59" t="str">
        <f>IF(ISERROR(VLOOKUP(SMALL('Error Check Table-Hidden'!B:B,ROW(C171)-3),ErrorCheckTable,4,FALSE)), "",(VLOOKUP(SMALL('Error Check Table-Hidden'!B:B,ROW(C171)-3),ErrorCheckTable,4,FALSE)))</f>
        <v/>
      </c>
    </row>
    <row r="172" spans="2:4" x14ac:dyDescent="0.2">
      <c r="B172" s="67" t="str">
        <f t="shared" si="2"/>
        <v/>
      </c>
      <c r="C172" s="67" t="str">
        <f>IF(ISERROR(VLOOKUP(SMALL('Error Check Table-Hidden'!B:B,ROW(C172)-ROW($C$3)),ErrorCheckTable,3,FALSE)), "",(VLOOKUP(SMALL('Error Check Table-Hidden'!B:B,ROW(C172)-ROW($C$3)),ErrorCheckTable,3,FALSE)))</f>
        <v/>
      </c>
      <c r="D172" s="59" t="str">
        <f>IF(ISERROR(VLOOKUP(SMALL('Error Check Table-Hidden'!B:B,ROW(C172)-3),ErrorCheckTable,4,FALSE)), "",(VLOOKUP(SMALL('Error Check Table-Hidden'!B:B,ROW(C172)-3),ErrorCheckTable,4,FALSE)))</f>
        <v/>
      </c>
    </row>
    <row r="173" spans="2:4" x14ac:dyDescent="0.2">
      <c r="B173" s="67" t="str">
        <f t="shared" si="2"/>
        <v/>
      </c>
      <c r="C173" s="67" t="str">
        <f>IF(ISERROR(VLOOKUP(SMALL('Error Check Table-Hidden'!B:B,ROW(C173)-ROW($C$3)),ErrorCheckTable,3,FALSE)), "",(VLOOKUP(SMALL('Error Check Table-Hidden'!B:B,ROW(C173)-ROW($C$3)),ErrorCheckTable,3,FALSE)))</f>
        <v/>
      </c>
      <c r="D173" s="59" t="str">
        <f>IF(ISERROR(VLOOKUP(SMALL('Error Check Table-Hidden'!B:B,ROW(C173)-3),ErrorCheckTable,4,FALSE)), "",(VLOOKUP(SMALL('Error Check Table-Hidden'!B:B,ROW(C173)-3),ErrorCheckTable,4,FALSE)))</f>
        <v/>
      </c>
    </row>
    <row r="174" spans="2:4" x14ac:dyDescent="0.2">
      <c r="B174" s="67" t="str">
        <f t="shared" si="2"/>
        <v/>
      </c>
      <c r="C174" s="67" t="str">
        <f>IF(ISERROR(VLOOKUP(SMALL('Error Check Table-Hidden'!B:B,ROW(C174)-ROW($C$3)),ErrorCheckTable,3,FALSE)), "",(VLOOKUP(SMALL('Error Check Table-Hidden'!B:B,ROW(C174)-ROW($C$3)),ErrorCheckTable,3,FALSE)))</f>
        <v/>
      </c>
      <c r="D174" s="59" t="str">
        <f>IF(ISERROR(VLOOKUP(SMALL('Error Check Table-Hidden'!B:B,ROW(C174)-3),ErrorCheckTable,4,FALSE)), "",(VLOOKUP(SMALL('Error Check Table-Hidden'!B:B,ROW(C174)-3),ErrorCheckTable,4,FALSE)))</f>
        <v/>
      </c>
    </row>
    <row r="175" spans="2:4" x14ac:dyDescent="0.2">
      <c r="B175" s="67" t="str">
        <f t="shared" si="2"/>
        <v/>
      </c>
      <c r="C175" s="67" t="str">
        <f>IF(ISERROR(VLOOKUP(SMALL('Error Check Table-Hidden'!B:B,ROW(C175)-ROW($C$3)),ErrorCheckTable,3,FALSE)), "",(VLOOKUP(SMALL('Error Check Table-Hidden'!B:B,ROW(C175)-ROW($C$3)),ErrorCheckTable,3,FALSE)))</f>
        <v/>
      </c>
      <c r="D175" s="59" t="str">
        <f>IF(ISERROR(VLOOKUP(SMALL('Error Check Table-Hidden'!B:B,ROW(C175)-3),ErrorCheckTable,4,FALSE)), "",(VLOOKUP(SMALL('Error Check Table-Hidden'!B:B,ROW(C175)-3),ErrorCheckTable,4,FALSE)))</f>
        <v/>
      </c>
    </row>
    <row r="176" spans="2:4" x14ac:dyDescent="0.2">
      <c r="B176" s="67" t="str">
        <f t="shared" si="2"/>
        <v/>
      </c>
      <c r="C176" s="67" t="str">
        <f>IF(ISERROR(VLOOKUP(SMALL('Error Check Table-Hidden'!B:B,ROW(C176)-ROW($C$3)),ErrorCheckTable,3,FALSE)), "",(VLOOKUP(SMALL('Error Check Table-Hidden'!B:B,ROW(C176)-ROW($C$3)),ErrorCheckTable,3,FALSE)))</f>
        <v/>
      </c>
      <c r="D176" s="59" t="str">
        <f>IF(ISERROR(VLOOKUP(SMALL('Error Check Table-Hidden'!B:B,ROW(C176)-3),ErrorCheckTable,4,FALSE)), "",(VLOOKUP(SMALL('Error Check Table-Hidden'!B:B,ROW(C176)-3),ErrorCheckTable,4,FALSE)))</f>
        <v/>
      </c>
    </row>
    <row r="177" spans="2:4" x14ac:dyDescent="0.2">
      <c r="B177" s="67" t="str">
        <f t="shared" si="2"/>
        <v/>
      </c>
      <c r="C177" s="67" t="str">
        <f>IF(ISERROR(VLOOKUP(SMALL('Error Check Table-Hidden'!B:B,ROW(C177)-ROW($C$3)),ErrorCheckTable,3,FALSE)), "",(VLOOKUP(SMALL('Error Check Table-Hidden'!B:B,ROW(C177)-ROW($C$3)),ErrorCheckTable,3,FALSE)))</f>
        <v/>
      </c>
      <c r="D177" s="59" t="str">
        <f>IF(ISERROR(VLOOKUP(SMALL('Error Check Table-Hidden'!B:B,ROW(C177)-3),ErrorCheckTable,4,FALSE)), "",(VLOOKUP(SMALL('Error Check Table-Hidden'!B:B,ROW(C177)-3),ErrorCheckTable,4,FALSE)))</f>
        <v/>
      </c>
    </row>
    <row r="178" spans="2:4" x14ac:dyDescent="0.2">
      <c r="B178" s="67" t="str">
        <f t="shared" si="2"/>
        <v/>
      </c>
      <c r="C178" s="67" t="str">
        <f>IF(ISERROR(VLOOKUP(SMALL('Error Check Table-Hidden'!B:B,ROW(C178)-ROW($C$3)),ErrorCheckTable,3,FALSE)), "",(VLOOKUP(SMALL('Error Check Table-Hidden'!B:B,ROW(C178)-ROW($C$3)),ErrorCheckTable,3,FALSE)))</f>
        <v/>
      </c>
      <c r="D178" s="59" t="str">
        <f>IF(ISERROR(VLOOKUP(SMALL('Error Check Table-Hidden'!B:B,ROW(C178)-3),ErrorCheckTable,4,FALSE)), "",(VLOOKUP(SMALL('Error Check Table-Hidden'!B:B,ROW(C178)-3),ErrorCheckTable,4,FALSE)))</f>
        <v/>
      </c>
    </row>
    <row r="179" spans="2:4" x14ac:dyDescent="0.2">
      <c r="B179" s="67" t="str">
        <f t="shared" si="2"/>
        <v/>
      </c>
      <c r="C179" s="67" t="str">
        <f>IF(ISERROR(VLOOKUP(SMALL('Error Check Table-Hidden'!B:B,ROW(C179)-ROW($C$3)),ErrorCheckTable,3,FALSE)), "",(VLOOKUP(SMALL('Error Check Table-Hidden'!B:B,ROW(C179)-ROW($C$3)),ErrorCheckTable,3,FALSE)))</f>
        <v/>
      </c>
      <c r="D179" s="59" t="str">
        <f>IF(ISERROR(VLOOKUP(SMALL('Error Check Table-Hidden'!B:B,ROW(C179)-3),ErrorCheckTable,4,FALSE)), "",(VLOOKUP(SMALL('Error Check Table-Hidden'!B:B,ROW(C179)-3),ErrorCheckTable,4,FALSE)))</f>
        <v/>
      </c>
    </row>
    <row r="180" spans="2:4" x14ac:dyDescent="0.2">
      <c r="B180" s="67" t="str">
        <f t="shared" si="2"/>
        <v/>
      </c>
      <c r="C180" s="67" t="str">
        <f>IF(ISERROR(VLOOKUP(SMALL('Error Check Table-Hidden'!B:B,ROW(C180)-ROW($C$3)),ErrorCheckTable,3,FALSE)), "",(VLOOKUP(SMALL('Error Check Table-Hidden'!B:B,ROW(C180)-ROW($C$3)),ErrorCheckTable,3,FALSE)))</f>
        <v/>
      </c>
      <c r="D180" s="59" t="str">
        <f>IF(ISERROR(VLOOKUP(SMALL('Error Check Table-Hidden'!B:B,ROW(C180)-3),ErrorCheckTable,4,FALSE)), "",(VLOOKUP(SMALL('Error Check Table-Hidden'!B:B,ROW(C180)-3),ErrorCheckTable,4,FALSE)))</f>
        <v/>
      </c>
    </row>
    <row r="181" spans="2:4" x14ac:dyDescent="0.2">
      <c r="B181" s="67" t="str">
        <f t="shared" si="2"/>
        <v/>
      </c>
      <c r="C181" s="67" t="str">
        <f>IF(ISERROR(VLOOKUP(SMALL('Error Check Table-Hidden'!B:B,ROW(C181)-ROW($C$3)),ErrorCheckTable,3,FALSE)), "",(VLOOKUP(SMALL('Error Check Table-Hidden'!B:B,ROW(C181)-ROW($C$3)),ErrorCheckTable,3,FALSE)))</f>
        <v/>
      </c>
      <c r="D181" s="59" t="str">
        <f>IF(ISERROR(VLOOKUP(SMALL('Error Check Table-Hidden'!B:B,ROW(C181)-3),ErrorCheckTable,4,FALSE)), "",(VLOOKUP(SMALL('Error Check Table-Hidden'!B:B,ROW(C181)-3),ErrorCheckTable,4,FALSE)))</f>
        <v/>
      </c>
    </row>
    <row r="182" spans="2:4" x14ac:dyDescent="0.2">
      <c r="B182" s="67" t="str">
        <f t="shared" si="2"/>
        <v/>
      </c>
      <c r="C182" s="67" t="str">
        <f>IF(ISERROR(VLOOKUP(SMALL('Error Check Table-Hidden'!B:B,ROW(C182)-ROW($C$3)),ErrorCheckTable,3,FALSE)), "",(VLOOKUP(SMALL('Error Check Table-Hidden'!B:B,ROW(C182)-ROW($C$3)),ErrorCheckTable,3,FALSE)))</f>
        <v/>
      </c>
      <c r="D182" s="59" t="str">
        <f>IF(ISERROR(VLOOKUP(SMALL('Error Check Table-Hidden'!B:B,ROW(C182)-3),ErrorCheckTable,4,FALSE)), "",(VLOOKUP(SMALL('Error Check Table-Hidden'!B:B,ROW(C182)-3),ErrorCheckTable,4,FALSE)))</f>
        <v/>
      </c>
    </row>
    <row r="183" spans="2:4" x14ac:dyDescent="0.2">
      <c r="B183" s="67" t="str">
        <f t="shared" si="2"/>
        <v/>
      </c>
      <c r="C183" s="67" t="str">
        <f>IF(ISERROR(VLOOKUP(SMALL('Error Check Table-Hidden'!B:B,ROW(C183)-ROW($C$3)),ErrorCheckTable,3,FALSE)), "",(VLOOKUP(SMALL('Error Check Table-Hidden'!B:B,ROW(C183)-ROW($C$3)),ErrorCheckTable,3,FALSE)))</f>
        <v/>
      </c>
      <c r="D183" s="59" t="str">
        <f>IF(ISERROR(VLOOKUP(SMALL('Error Check Table-Hidden'!B:B,ROW(C183)-3),ErrorCheckTable,4,FALSE)), "",(VLOOKUP(SMALL('Error Check Table-Hidden'!B:B,ROW(C183)-3),ErrorCheckTable,4,FALSE)))</f>
        <v/>
      </c>
    </row>
    <row r="184" spans="2:4" x14ac:dyDescent="0.2">
      <c r="B184" s="67" t="str">
        <f t="shared" si="2"/>
        <v/>
      </c>
      <c r="C184" s="67" t="str">
        <f>IF(ISERROR(VLOOKUP(SMALL('Error Check Table-Hidden'!B:B,ROW(C184)-ROW($C$3)),ErrorCheckTable,3,FALSE)), "",(VLOOKUP(SMALL('Error Check Table-Hidden'!B:B,ROW(C184)-ROW($C$3)),ErrorCheckTable,3,FALSE)))</f>
        <v/>
      </c>
      <c r="D184" s="59" t="str">
        <f>IF(ISERROR(VLOOKUP(SMALL('Error Check Table-Hidden'!B:B,ROW(C184)-3),ErrorCheckTable,4,FALSE)), "",(VLOOKUP(SMALL('Error Check Table-Hidden'!B:B,ROW(C184)-3),ErrorCheckTable,4,FALSE)))</f>
        <v/>
      </c>
    </row>
    <row r="185" spans="2:4" x14ac:dyDescent="0.2">
      <c r="B185" s="67" t="str">
        <f t="shared" si="2"/>
        <v/>
      </c>
      <c r="C185" s="67" t="str">
        <f>IF(ISERROR(VLOOKUP(SMALL('Error Check Table-Hidden'!B:B,ROW(C185)-ROW($C$3)),ErrorCheckTable,3,FALSE)), "",(VLOOKUP(SMALL('Error Check Table-Hidden'!B:B,ROW(C185)-ROW($C$3)),ErrorCheckTable,3,FALSE)))</f>
        <v/>
      </c>
      <c r="D185" s="59" t="str">
        <f>IF(ISERROR(VLOOKUP(SMALL('Error Check Table-Hidden'!B:B,ROW(C185)-3),ErrorCheckTable,4,FALSE)), "",(VLOOKUP(SMALL('Error Check Table-Hidden'!B:B,ROW(C185)-3),ErrorCheckTable,4,FALSE)))</f>
        <v/>
      </c>
    </row>
    <row r="186" spans="2:4" x14ac:dyDescent="0.2">
      <c r="B186" s="67" t="str">
        <f t="shared" si="2"/>
        <v/>
      </c>
      <c r="C186" s="67" t="str">
        <f>IF(ISERROR(VLOOKUP(SMALL('Error Check Table-Hidden'!B:B,ROW(C186)-ROW($C$3)),ErrorCheckTable,3,FALSE)), "",(VLOOKUP(SMALL('Error Check Table-Hidden'!B:B,ROW(C186)-ROW($C$3)),ErrorCheckTable,3,FALSE)))</f>
        <v/>
      </c>
      <c r="D186" s="59" t="str">
        <f>IF(ISERROR(VLOOKUP(SMALL('Error Check Table-Hidden'!B:B,ROW(C186)-3),ErrorCheckTable,4,FALSE)), "",(VLOOKUP(SMALL('Error Check Table-Hidden'!B:B,ROW(C186)-3),ErrorCheckTable,4,FALSE)))</f>
        <v/>
      </c>
    </row>
    <row r="187" spans="2:4" x14ac:dyDescent="0.2">
      <c r="B187" s="67" t="str">
        <f t="shared" si="2"/>
        <v/>
      </c>
      <c r="C187" s="67" t="str">
        <f>IF(ISERROR(VLOOKUP(SMALL('Error Check Table-Hidden'!B:B,ROW(C187)-ROW($C$3)),ErrorCheckTable,3,FALSE)), "",(VLOOKUP(SMALL('Error Check Table-Hidden'!B:B,ROW(C187)-ROW($C$3)),ErrorCheckTable,3,FALSE)))</f>
        <v/>
      </c>
      <c r="D187" s="59" t="str">
        <f>IF(ISERROR(VLOOKUP(SMALL('Error Check Table-Hidden'!B:B,ROW(C187)-3),ErrorCheckTable,4,FALSE)), "",(VLOOKUP(SMALL('Error Check Table-Hidden'!B:B,ROW(C187)-3),ErrorCheckTable,4,FALSE)))</f>
        <v/>
      </c>
    </row>
    <row r="188" spans="2:4" x14ac:dyDescent="0.2">
      <c r="B188" s="67" t="str">
        <f t="shared" si="2"/>
        <v/>
      </c>
      <c r="C188" s="67" t="str">
        <f>IF(ISERROR(VLOOKUP(SMALL('Error Check Table-Hidden'!B:B,ROW(C188)-ROW($C$3)),ErrorCheckTable,3,FALSE)), "",(VLOOKUP(SMALL('Error Check Table-Hidden'!B:B,ROW(C188)-ROW($C$3)),ErrorCheckTable,3,FALSE)))</f>
        <v/>
      </c>
      <c r="D188" s="59" t="str">
        <f>IF(ISERROR(VLOOKUP(SMALL('Error Check Table-Hidden'!B:B,ROW(C188)-3),ErrorCheckTable,4,FALSE)), "",(VLOOKUP(SMALL('Error Check Table-Hidden'!B:B,ROW(C188)-3),ErrorCheckTable,4,FALSE)))</f>
        <v/>
      </c>
    </row>
    <row r="189" spans="2:4" x14ac:dyDescent="0.2">
      <c r="B189" s="67" t="str">
        <f t="shared" si="2"/>
        <v/>
      </c>
      <c r="C189" s="67" t="str">
        <f>IF(ISERROR(VLOOKUP(SMALL('Error Check Table-Hidden'!B:B,ROW(C189)-ROW($C$3)),ErrorCheckTable,3,FALSE)), "",(VLOOKUP(SMALL('Error Check Table-Hidden'!B:B,ROW(C189)-ROW($C$3)),ErrorCheckTable,3,FALSE)))</f>
        <v/>
      </c>
      <c r="D189" s="59" t="str">
        <f>IF(ISERROR(VLOOKUP(SMALL('Error Check Table-Hidden'!B:B,ROW(C189)-3),ErrorCheckTable,4,FALSE)), "",(VLOOKUP(SMALL('Error Check Table-Hidden'!B:B,ROW(C189)-3),ErrorCheckTable,4,FALSE)))</f>
        <v/>
      </c>
    </row>
    <row r="190" spans="2:4" x14ac:dyDescent="0.2">
      <c r="B190" s="67" t="str">
        <f t="shared" si="2"/>
        <v/>
      </c>
      <c r="C190" s="67" t="str">
        <f>IF(ISERROR(VLOOKUP(SMALL('Error Check Table-Hidden'!B:B,ROW(C190)-ROW($C$3)),ErrorCheckTable,3,FALSE)), "",(VLOOKUP(SMALL('Error Check Table-Hidden'!B:B,ROW(C190)-ROW($C$3)),ErrorCheckTable,3,FALSE)))</f>
        <v/>
      </c>
      <c r="D190" s="59" t="str">
        <f>IF(ISERROR(VLOOKUP(SMALL('Error Check Table-Hidden'!B:B,ROW(C190)-3),ErrorCheckTable,4,FALSE)), "",(VLOOKUP(SMALL('Error Check Table-Hidden'!B:B,ROW(C190)-3),ErrorCheckTable,4,FALSE)))</f>
        <v/>
      </c>
    </row>
    <row r="191" spans="2:4" x14ac:dyDescent="0.2">
      <c r="B191" s="67" t="str">
        <f t="shared" si="2"/>
        <v/>
      </c>
      <c r="C191" s="67" t="str">
        <f>IF(ISERROR(VLOOKUP(SMALL('Error Check Table-Hidden'!B:B,ROW(C191)-ROW($C$3)),ErrorCheckTable,3,FALSE)), "",(VLOOKUP(SMALL('Error Check Table-Hidden'!B:B,ROW(C191)-ROW($C$3)),ErrorCheckTable,3,FALSE)))</f>
        <v/>
      </c>
      <c r="D191" s="59" t="str">
        <f>IF(ISERROR(VLOOKUP(SMALL('Error Check Table-Hidden'!B:B,ROW(C191)-3),ErrorCheckTable,4,FALSE)), "",(VLOOKUP(SMALL('Error Check Table-Hidden'!B:B,ROW(C191)-3),ErrorCheckTable,4,FALSE)))</f>
        <v/>
      </c>
    </row>
    <row r="192" spans="2:4" x14ac:dyDescent="0.2">
      <c r="B192" s="67" t="str">
        <f t="shared" si="2"/>
        <v/>
      </c>
      <c r="C192" s="67" t="str">
        <f>IF(ISERROR(VLOOKUP(SMALL('Error Check Table-Hidden'!B:B,ROW(C192)-ROW($C$3)),ErrorCheckTable,3,FALSE)), "",(VLOOKUP(SMALL('Error Check Table-Hidden'!B:B,ROW(C192)-ROW($C$3)),ErrorCheckTable,3,FALSE)))</f>
        <v/>
      </c>
      <c r="D192" s="59" t="str">
        <f>IF(ISERROR(VLOOKUP(SMALL('Error Check Table-Hidden'!B:B,ROW(C192)-3),ErrorCheckTable,4,FALSE)), "",(VLOOKUP(SMALL('Error Check Table-Hidden'!B:B,ROW(C192)-3),ErrorCheckTable,4,FALSE)))</f>
        <v/>
      </c>
    </row>
    <row r="193" spans="2:4" x14ac:dyDescent="0.2">
      <c r="B193" s="67" t="str">
        <f t="shared" si="2"/>
        <v/>
      </c>
      <c r="C193" s="67" t="str">
        <f>IF(ISERROR(VLOOKUP(SMALL('Error Check Table-Hidden'!B:B,ROW(C193)-ROW($C$3)),ErrorCheckTable,3,FALSE)), "",(VLOOKUP(SMALL('Error Check Table-Hidden'!B:B,ROW(C193)-ROW($C$3)),ErrorCheckTable,3,FALSE)))</f>
        <v/>
      </c>
      <c r="D193" s="59" t="str">
        <f>IF(ISERROR(VLOOKUP(SMALL('Error Check Table-Hidden'!B:B,ROW(C193)-3),ErrorCheckTable,4,FALSE)), "",(VLOOKUP(SMALL('Error Check Table-Hidden'!B:B,ROW(C193)-3),ErrorCheckTable,4,FALSE)))</f>
        <v/>
      </c>
    </row>
    <row r="194" spans="2:4" x14ac:dyDescent="0.2">
      <c r="B194" s="67" t="str">
        <f t="shared" si="2"/>
        <v/>
      </c>
      <c r="C194" s="67" t="str">
        <f>IF(ISERROR(VLOOKUP(SMALL('Error Check Table-Hidden'!B:B,ROW(C194)-ROW($C$3)),ErrorCheckTable,3,FALSE)), "",(VLOOKUP(SMALL('Error Check Table-Hidden'!B:B,ROW(C194)-ROW($C$3)),ErrorCheckTable,3,FALSE)))</f>
        <v/>
      </c>
      <c r="D194" s="59" t="str">
        <f>IF(ISERROR(VLOOKUP(SMALL('Error Check Table-Hidden'!B:B,ROW(C194)-3),ErrorCheckTable,4,FALSE)), "",(VLOOKUP(SMALL('Error Check Table-Hidden'!B:B,ROW(C194)-3),ErrorCheckTable,4,FALSE)))</f>
        <v/>
      </c>
    </row>
    <row r="195" spans="2:4" x14ac:dyDescent="0.2">
      <c r="B195" s="67" t="str">
        <f t="shared" si="2"/>
        <v/>
      </c>
      <c r="C195" s="67" t="str">
        <f>IF(ISERROR(VLOOKUP(SMALL('Error Check Table-Hidden'!B:B,ROW(C195)-ROW($C$3)),ErrorCheckTable,3,FALSE)), "",(VLOOKUP(SMALL('Error Check Table-Hidden'!B:B,ROW(C195)-ROW($C$3)),ErrorCheckTable,3,FALSE)))</f>
        <v/>
      </c>
      <c r="D195" s="59" t="str">
        <f>IF(ISERROR(VLOOKUP(SMALL('Error Check Table-Hidden'!B:B,ROW(C195)-3),ErrorCheckTable,4,FALSE)), "",(VLOOKUP(SMALL('Error Check Table-Hidden'!B:B,ROW(C195)-3),ErrorCheckTable,4,FALSE)))</f>
        <v/>
      </c>
    </row>
    <row r="196" spans="2:4" x14ac:dyDescent="0.2">
      <c r="B196" s="67" t="str">
        <f t="shared" si="2"/>
        <v/>
      </c>
      <c r="C196" s="67" t="str">
        <f>IF(ISERROR(VLOOKUP(SMALL('Error Check Table-Hidden'!B:B,ROW(C196)-ROW($C$3)),ErrorCheckTable,3,FALSE)), "",(VLOOKUP(SMALL('Error Check Table-Hidden'!B:B,ROW(C196)-ROW($C$3)),ErrorCheckTable,3,FALSE)))</f>
        <v/>
      </c>
      <c r="D196" s="59" t="str">
        <f>IF(ISERROR(VLOOKUP(SMALL('Error Check Table-Hidden'!B:B,ROW(C196)-3),ErrorCheckTable,4,FALSE)), "",(VLOOKUP(SMALL('Error Check Table-Hidden'!B:B,ROW(C196)-3),ErrorCheckTable,4,FALSE)))</f>
        <v/>
      </c>
    </row>
    <row r="197" spans="2:4" x14ac:dyDescent="0.2">
      <c r="B197" s="67" t="str">
        <f t="shared" ref="B197:B236" si="3">IF(C197&lt;&gt;"",B196+1,"")</f>
        <v/>
      </c>
      <c r="C197" s="67" t="str">
        <f>IF(ISERROR(VLOOKUP(SMALL('Error Check Table-Hidden'!B:B,ROW(C197)-ROW($C$3)),ErrorCheckTable,3,FALSE)), "",(VLOOKUP(SMALL('Error Check Table-Hidden'!B:B,ROW(C197)-ROW($C$3)),ErrorCheckTable,3,FALSE)))</f>
        <v/>
      </c>
      <c r="D197" s="59" t="str">
        <f>IF(ISERROR(VLOOKUP(SMALL('Error Check Table-Hidden'!B:B,ROW(C197)-3),ErrorCheckTable,4,FALSE)), "",(VLOOKUP(SMALL('Error Check Table-Hidden'!B:B,ROW(C197)-3),ErrorCheckTable,4,FALSE)))</f>
        <v/>
      </c>
    </row>
    <row r="198" spans="2:4" x14ac:dyDescent="0.2">
      <c r="B198" s="67" t="str">
        <f t="shared" si="3"/>
        <v/>
      </c>
      <c r="C198" s="67" t="str">
        <f>IF(ISERROR(VLOOKUP(SMALL('Error Check Table-Hidden'!B:B,ROW(C198)-3),ErrorCheckTable,3,FALSE)), "",(VLOOKUP(SMALL('Error Check Table-Hidden'!B:B,ROW(C198)-3),ErrorCheckTable,3,FALSE)))</f>
        <v/>
      </c>
      <c r="D198" s="59" t="str">
        <f>IF(ISERROR(VLOOKUP(SMALL('Error Check Table-Hidden'!B:B,ROW(C198)-3),ErrorCheckTable,4,FALSE)), "",(VLOOKUP(SMALL('Error Check Table-Hidden'!B:B,ROW(C198)-3),ErrorCheckTable,4,FALSE)))</f>
        <v/>
      </c>
    </row>
    <row r="199" spans="2:4" x14ac:dyDescent="0.2">
      <c r="B199" s="67" t="str">
        <f t="shared" si="3"/>
        <v/>
      </c>
      <c r="C199" s="67" t="str">
        <f>IF(ISERROR(VLOOKUP(SMALL('Error Check Table-Hidden'!B:B,ROW(C199)-3),ErrorCheckTable,3,FALSE)), "",(VLOOKUP(SMALL('Error Check Table-Hidden'!B:B,ROW(C199)-3),ErrorCheckTable,3,FALSE)))</f>
        <v/>
      </c>
      <c r="D199" s="59" t="str">
        <f>IF(ISERROR(VLOOKUP(SMALL('Error Check Table-Hidden'!B:B,ROW(C199)-3),ErrorCheckTable,4,FALSE)), "",(VLOOKUP(SMALL('Error Check Table-Hidden'!B:B,ROW(C199)-3),ErrorCheckTable,4,FALSE)))</f>
        <v/>
      </c>
    </row>
    <row r="200" spans="2:4" x14ac:dyDescent="0.2">
      <c r="B200" s="67" t="str">
        <f t="shared" si="3"/>
        <v/>
      </c>
      <c r="C200" s="67" t="str">
        <f>IF(ISERROR(VLOOKUP(SMALL('Error Check Table-Hidden'!B:B,ROW(C200)-3),ErrorCheckTable,3,FALSE)), "",(VLOOKUP(SMALL('Error Check Table-Hidden'!B:B,ROW(C200)-3),ErrorCheckTable,3,FALSE)))</f>
        <v/>
      </c>
      <c r="D200" s="59" t="str">
        <f>IF(ISERROR(VLOOKUP(SMALL('Error Check Table-Hidden'!B:B,ROW(C200)-3),ErrorCheckTable,4,FALSE)), "",(VLOOKUP(SMALL('Error Check Table-Hidden'!B:B,ROW(C200)-3),ErrorCheckTable,4,FALSE)))</f>
        <v/>
      </c>
    </row>
    <row r="201" spans="2:4" x14ac:dyDescent="0.2">
      <c r="B201" s="67" t="str">
        <f t="shared" si="3"/>
        <v/>
      </c>
      <c r="C201" s="67" t="str">
        <f>IF(ISERROR(VLOOKUP(SMALL('Error Check Table-Hidden'!B:B,ROW(C201)-3),ErrorCheckTable,3,FALSE)), "",(VLOOKUP(SMALL('Error Check Table-Hidden'!B:B,ROW(C201)-3),ErrorCheckTable,3,FALSE)))</f>
        <v/>
      </c>
      <c r="D201" s="59" t="str">
        <f>IF(ISERROR(VLOOKUP(SMALL('Error Check Table-Hidden'!B:B,ROW(C201)-3),ErrorCheckTable,4,FALSE)), "",(VLOOKUP(SMALL('Error Check Table-Hidden'!B:B,ROW(C201)-3),ErrorCheckTable,4,FALSE)))</f>
        <v/>
      </c>
    </row>
    <row r="202" spans="2:4" x14ac:dyDescent="0.2">
      <c r="B202" s="67" t="str">
        <f t="shared" si="3"/>
        <v/>
      </c>
      <c r="C202" s="67" t="str">
        <f>IF(ISERROR(VLOOKUP(SMALL('Error Check Table-Hidden'!B:B,ROW(C202)-3),ErrorCheckTable,3,FALSE)), "",(VLOOKUP(SMALL('Error Check Table-Hidden'!B:B,ROW(C202)-3),ErrorCheckTable,3,FALSE)))</f>
        <v/>
      </c>
      <c r="D202" s="59" t="str">
        <f>IF(ISERROR(VLOOKUP(SMALL('Error Check Table-Hidden'!B:B,ROW(C202)-3),ErrorCheckTable,4,FALSE)), "",(VLOOKUP(SMALL('Error Check Table-Hidden'!B:B,ROW(C202)-3),ErrorCheckTable,4,FALSE)))</f>
        <v/>
      </c>
    </row>
    <row r="203" spans="2:4" x14ac:dyDescent="0.2">
      <c r="B203" s="67" t="str">
        <f t="shared" si="3"/>
        <v/>
      </c>
      <c r="C203" s="67" t="str">
        <f>IF(ISERROR(VLOOKUP(SMALL('Error Check Table-Hidden'!B:B,ROW(C203)-3),ErrorCheckTable,3,FALSE)), "",(VLOOKUP(SMALL('Error Check Table-Hidden'!B:B,ROW(C203)-3),ErrorCheckTable,3,FALSE)))</f>
        <v/>
      </c>
      <c r="D203" s="59" t="str">
        <f>IF(ISERROR(VLOOKUP(SMALL('Error Check Table-Hidden'!B:B,ROW(C203)-3),ErrorCheckTable,4,FALSE)), "",(VLOOKUP(SMALL('Error Check Table-Hidden'!B:B,ROW(C203)-3),ErrorCheckTable,4,FALSE)))</f>
        <v/>
      </c>
    </row>
    <row r="204" spans="2:4" x14ac:dyDescent="0.2">
      <c r="B204" s="67" t="str">
        <f t="shared" si="3"/>
        <v/>
      </c>
      <c r="C204" s="67" t="str">
        <f>IF(ISERROR(VLOOKUP(SMALL('Error Check Table-Hidden'!B:B,ROW(C204)-3),ErrorCheckTable,3,FALSE)), "",(VLOOKUP(SMALL('Error Check Table-Hidden'!B:B,ROW(C204)-3),ErrorCheckTable,3,FALSE)))</f>
        <v/>
      </c>
      <c r="D204" s="59" t="str">
        <f>IF(ISERROR(VLOOKUP(SMALL('Error Check Table-Hidden'!B:B,ROW(C204)-3),ErrorCheckTable,4,FALSE)), "",(VLOOKUP(SMALL('Error Check Table-Hidden'!B:B,ROW(C204)-3),ErrorCheckTable,4,FALSE)))</f>
        <v/>
      </c>
    </row>
    <row r="205" spans="2:4" x14ac:dyDescent="0.2">
      <c r="B205" s="67" t="str">
        <f t="shared" si="3"/>
        <v/>
      </c>
      <c r="C205" s="67" t="str">
        <f>IF(ISERROR(VLOOKUP(SMALL('Error Check Table-Hidden'!B:B,ROW(C205)-3),ErrorCheckTable,3,FALSE)), "",(VLOOKUP(SMALL('Error Check Table-Hidden'!B:B,ROW(C205)-3),ErrorCheckTable,3,FALSE)))</f>
        <v/>
      </c>
      <c r="D205" s="59" t="str">
        <f>IF(ISERROR(VLOOKUP(SMALL('Error Check Table-Hidden'!B:B,ROW(C205)-3),ErrorCheckTable,4,FALSE)), "",(VLOOKUP(SMALL('Error Check Table-Hidden'!B:B,ROW(C205)-3),ErrorCheckTable,4,FALSE)))</f>
        <v/>
      </c>
    </row>
    <row r="206" spans="2:4" x14ac:dyDescent="0.2">
      <c r="B206" s="67" t="str">
        <f t="shared" si="3"/>
        <v/>
      </c>
      <c r="C206" s="67" t="str">
        <f>IF(ISERROR(VLOOKUP(SMALL('Error Check Table-Hidden'!B:B,ROW(C206)-3),ErrorCheckTable,3,FALSE)), "",(VLOOKUP(SMALL('Error Check Table-Hidden'!B:B,ROW(C206)-3),ErrorCheckTable,3,FALSE)))</f>
        <v/>
      </c>
      <c r="D206" s="59" t="str">
        <f>IF(ISERROR(VLOOKUP(SMALL('Error Check Table-Hidden'!B:B,ROW(C206)-3),ErrorCheckTable,4,FALSE)), "",(VLOOKUP(SMALL('Error Check Table-Hidden'!B:B,ROW(C206)-3),ErrorCheckTable,4,FALSE)))</f>
        <v/>
      </c>
    </row>
    <row r="207" spans="2:4" x14ac:dyDescent="0.2">
      <c r="B207" s="67" t="str">
        <f t="shared" si="3"/>
        <v/>
      </c>
      <c r="C207" s="67" t="str">
        <f>IF(ISERROR(VLOOKUP(SMALL('Error Check Table-Hidden'!B:B,ROW(C207)-3),ErrorCheckTable,3,FALSE)), "",(VLOOKUP(SMALL('Error Check Table-Hidden'!B:B,ROW(C207)-3),ErrorCheckTable,3,FALSE)))</f>
        <v/>
      </c>
      <c r="D207" s="59" t="str">
        <f>IF(ISERROR(VLOOKUP(SMALL('Error Check Table-Hidden'!B:B,ROW(C207)-3),ErrorCheckTable,4,FALSE)), "",(VLOOKUP(SMALL('Error Check Table-Hidden'!B:B,ROW(C207)-3),ErrorCheckTable,4,FALSE)))</f>
        <v/>
      </c>
    </row>
    <row r="208" spans="2:4" x14ac:dyDescent="0.2">
      <c r="B208" s="67" t="str">
        <f t="shared" si="3"/>
        <v/>
      </c>
      <c r="C208" s="67" t="str">
        <f>IF(ISERROR(VLOOKUP(SMALL('Error Check Table-Hidden'!B:B,ROW(C208)-3),ErrorCheckTable,3,FALSE)), "",(VLOOKUP(SMALL('Error Check Table-Hidden'!B:B,ROW(C208)-3),ErrorCheckTable,3,FALSE)))</f>
        <v/>
      </c>
      <c r="D208" s="59" t="str">
        <f>IF(ISERROR(VLOOKUP(SMALL('Error Check Table-Hidden'!B:B,ROW(C208)-3),ErrorCheckTable,4,FALSE)), "",(VLOOKUP(SMALL('Error Check Table-Hidden'!B:B,ROW(C208)-3),ErrorCheckTable,4,FALSE)))</f>
        <v/>
      </c>
    </row>
    <row r="209" spans="2:4" x14ac:dyDescent="0.2">
      <c r="B209" s="67" t="str">
        <f t="shared" si="3"/>
        <v/>
      </c>
      <c r="C209" s="67" t="str">
        <f>IF(ISERROR(VLOOKUP(SMALL('Error Check Table-Hidden'!B:B,ROW(C209)-3),ErrorCheckTable,3,FALSE)), "",(VLOOKUP(SMALL('Error Check Table-Hidden'!B:B,ROW(C209)-3),ErrorCheckTable,3,FALSE)))</f>
        <v/>
      </c>
      <c r="D209" s="59" t="str">
        <f>IF(ISERROR(VLOOKUP(SMALL('Error Check Table-Hidden'!B:B,ROW(C209)-3),ErrorCheckTable,4,FALSE)), "",(VLOOKUP(SMALL('Error Check Table-Hidden'!B:B,ROW(C209)-3),ErrorCheckTable,4,FALSE)))</f>
        <v/>
      </c>
    </row>
    <row r="210" spans="2:4" x14ac:dyDescent="0.2">
      <c r="B210" s="67" t="str">
        <f t="shared" si="3"/>
        <v/>
      </c>
      <c r="C210" s="67" t="str">
        <f>IF(ISERROR(VLOOKUP(SMALL('Error Check Table-Hidden'!B:B,ROW(C210)-3),ErrorCheckTable,3,FALSE)), "",(VLOOKUP(SMALL('Error Check Table-Hidden'!B:B,ROW(C210)-3),ErrorCheckTable,3,FALSE)))</f>
        <v/>
      </c>
      <c r="D210" s="59" t="str">
        <f>IF(ISERROR(VLOOKUP(SMALL('Error Check Table-Hidden'!B:B,ROW(C210)-3),ErrorCheckTable,4,FALSE)), "",(VLOOKUP(SMALL('Error Check Table-Hidden'!B:B,ROW(C210)-3),ErrorCheckTable,4,FALSE)))</f>
        <v/>
      </c>
    </row>
    <row r="211" spans="2:4" x14ac:dyDescent="0.2">
      <c r="B211" s="67" t="str">
        <f t="shared" si="3"/>
        <v/>
      </c>
      <c r="C211" s="67" t="str">
        <f>IF(ISERROR(VLOOKUP(SMALL('Error Check Table-Hidden'!B:B,ROW(C211)-3),ErrorCheckTable,3,FALSE)), "",(VLOOKUP(SMALL('Error Check Table-Hidden'!B:B,ROW(C211)-3),ErrorCheckTable,3,FALSE)))</f>
        <v/>
      </c>
      <c r="D211" s="59" t="str">
        <f>IF(ISERROR(VLOOKUP(SMALL('Error Check Table-Hidden'!B:B,ROW(C211)-3),ErrorCheckTable,4,FALSE)), "",(VLOOKUP(SMALL('Error Check Table-Hidden'!B:B,ROW(C211)-3),ErrorCheckTable,4,FALSE)))</f>
        <v/>
      </c>
    </row>
    <row r="212" spans="2:4" x14ac:dyDescent="0.2">
      <c r="B212" s="67" t="str">
        <f t="shared" si="3"/>
        <v/>
      </c>
      <c r="C212" s="67" t="str">
        <f>IF(ISERROR(VLOOKUP(SMALL('Error Check Table-Hidden'!B:B,ROW(C212)-3),ErrorCheckTable,3,FALSE)), "",(VLOOKUP(SMALL('Error Check Table-Hidden'!B:B,ROW(C212)-3),ErrorCheckTable,3,FALSE)))</f>
        <v/>
      </c>
      <c r="D212" s="59" t="str">
        <f>IF(ISERROR(VLOOKUP(SMALL('Error Check Table-Hidden'!B:B,ROW(C212)-3),ErrorCheckTable,4,FALSE)), "",(VLOOKUP(SMALL('Error Check Table-Hidden'!B:B,ROW(C212)-3),ErrorCheckTable,4,FALSE)))</f>
        <v/>
      </c>
    </row>
    <row r="213" spans="2:4" x14ac:dyDescent="0.2">
      <c r="B213" s="67" t="str">
        <f t="shared" si="3"/>
        <v/>
      </c>
      <c r="C213" s="67" t="str">
        <f>IF(ISERROR(VLOOKUP(SMALL('Error Check Table-Hidden'!B:B,ROW(C213)-3),ErrorCheckTable,3,FALSE)), "",(VLOOKUP(SMALL('Error Check Table-Hidden'!B:B,ROW(C213)-3),ErrorCheckTable,3,FALSE)))</f>
        <v/>
      </c>
      <c r="D213" s="59" t="str">
        <f>IF(ISERROR(VLOOKUP(SMALL('Error Check Table-Hidden'!B:B,ROW(C213)-3),ErrorCheckTable,4,FALSE)), "",(VLOOKUP(SMALL('Error Check Table-Hidden'!B:B,ROW(C213)-3),ErrorCheckTable,4,FALSE)))</f>
        <v/>
      </c>
    </row>
    <row r="214" spans="2:4" x14ac:dyDescent="0.2">
      <c r="B214" s="67" t="str">
        <f t="shared" si="3"/>
        <v/>
      </c>
      <c r="C214" s="67" t="str">
        <f>IF(ISERROR(VLOOKUP(SMALL('Error Check Table-Hidden'!B:B,ROW(C214)-3),ErrorCheckTable,3,FALSE)), "",(VLOOKUP(SMALL('Error Check Table-Hidden'!B:B,ROW(C214)-3),ErrorCheckTable,3,FALSE)))</f>
        <v/>
      </c>
      <c r="D214" s="59" t="str">
        <f>IF(ISERROR(VLOOKUP(SMALL('Error Check Table-Hidden'!B:B,ROW(C214)-3),ErrorCheckTable,4,FALSE)), "",(VLOOKUP(SMALL('Error Check Table-Hidden'!B:B,ROW(C214)-3),ErrorCheckTable,4,FALSE)))</f>
        <v/>
      </c>
    </row>
    <row r="215" spans="2:4" x14ac:dyDescent="0.2">
      <c r="B215" s="67" t="str">
        <f t="shared" si="3"/>
        <v/>
      </c>
      <c r="C215" s="67" t="str">
        <f>IF(ISERROR(VLOOKUP(SMALL('Error Check Table-Hidden'!B:B,ROW(C215)-3),ErrorCheckTable,3,FALSE)), "",(VLOOKUP(SMALL('Error Check Table-Hidden'!B:B,ROW(C215)-3),ErrorCheckTable,3,FALSE)))</f>
        <v/>
      </c>
      <c r="D215" s="59" t="str">
        <f>IF(ISERROR(VLOOKUP(SMALL('Error Check Table-Hidden'!B:B,ROW(C215)-3),ErrorCheckTable,4,FALSE)), "",(VLOOKUP(SMALL('Error Check Table-Hidden'!B:B,ROW(C215)-3),ErrorCheckTable,4,FALSE)))</f>
        <v/>
      </c>
    </row>
    <row r="216" spans="2:4" x14ac:dyDescent="0.2">
      <c r="B216" s="67" t="str">
        <f t="shared" si="3"/>
        <v/>
      </c>
      <c r="C216" s="67" t="str">
        <f>IF(ISERROR(VLOOKUP(SMALL('Error Check Table-Hidden'!B:B,ROW(C216)-3),ErrorCheckTable,3,FALSE)), "",(VLOOKUP(SMALL('Error Check Table-Hidden'!B:B,ROW(C216)-3),ErrorCheckTable,3,FALSE)))</f>
        <v/>
      </c>
      <c r="D216" s="59" t="str">
        <f>IF(ISERROR(VLOOKUP(SMALL('Error Check Table-Hidden'!B:B,ROW(C216)-3),ErrorCheckTable,4,FALSE)), "",(VLOOKUP(SMALL('Error Check Table-Hidden'!B:B,ROW(C216)-3),ErrorCheckTable,4,FALSE)))</f>
        <v/>
      </c>
    </row>
    <row r="217" spans="2:4" x14ac:dyDescent="0.2">
      <c r="B217" s="67" t="str">
        <f t="shared" si="3"/>
        <v/>
      </c>
      <c r="C217" s="67" t="str">
        <f>IF(ISERROR(VLOOKUP(SMALL('Error Check Table-Hidden'!B:B,ROW(C217)-3),ErrorCheckTable,3,FALSE)), "",(VLOOKUP(SMALL('Error Check Table-Hidden'!B:B,ROW(C217)-3),ErrorCheckTable,3,FALSE)))</f>
        <v/>
      </c>
      <c r="D217" s="59" t="str">
        <f>IF(ISERROR(VLOOKUP(SMALL('Error Check Table-Hidden'!B:B,ROW(C217)-3),ErrorCheckTable,4,FALSE)), "",(VLOOKUP(SMALL('Error Check Table-Hidden'!B:B,ROW(C217)-3),ErrorCheckTable,4,FALSE)))</f>
        <v/>
      </c>
    </row>
    <row r="218" spans="2:4" x14ac:dyDescent="0.2">
      <c r="B218" s="67" t="str">
        <f t="shared" si="3"/>
        <v/>
      </c>
      <c r="C218" s="67" t="str">
        <f>IF(ISERROR(VLOOKUP(SMALL('Error Check Table-Hidden'!B:B,ROW(C218)-3),ErrorCheckTable,3,FALSE)), "",(VLOOKUP(SMALL('Error Check Table-Hidden'!B:B,ROW(C218)-3),ErrorCheckTable,3,FALSE)))</f>
        <v/>
      </c>
      <c r="D218" s="59" t="str">
        <f>IF(ISERROR(VLOOKUP(SMALL('Error Check Table-Hidden'!B:B,ROW(C218)-3),ErrorCheckTable,4,FALSE)), "",(VLOOKUP(SMALL('Error Check Table-Hidden'!B:B,ROW(C218)-3),ErrorCheckTable,4,FALSE)))</f>
        <v/>
      </c>
    </row>
    <row r="219" spans="2:4" x14ac:dyDescent="0.2">
      <c r="B219" s="67" t="str">
        <f t="shared" si="3"/>
        <v/>
      </c>
      <c r="C219" s="67" t="str">
        <f>IF(ISERROR(VLOOKUP(SMALL('Error Check Table-Hidden'!B:B,ROW(C219)-3),ErrorCheckTable,3,FALSE)), "",(VLOOKUP(SMALL('Error Check Table-Hidden'!B:B,ROW(C219)-3),ErrorCheckTable,3,FALSE)))</f>
        <v/>
      </c>
      <c r="D219" s="59" t="str">
        <f>IF(ISERROR(VLOOKUP(SMALL('Error Check Table-Hidden'!B:B,ROW(C219)-3),ErrorCheckTable,4,FALSE)), "",(VLOOKUP(SMALL('Error Check Table-Hidden'!B:B,ROW(C219)-3),ErrorCheckTable,4,FALSE)))</f>
        <v/>
      </c>
    </row>
    <row r="220" spans="2:4" x14ac:dyDescent="0.2">
      <c r="B220" s="67" t="str">
        <f t="shared" si="3"/>
        <v/>
      </c>
      <c r="C220" s="67" t="str">
        <f>IF(ISERROR(VLOOKUP(SMALL('Error Check Table-Hidden'!B:B,ROW(C220)-3),ErrorCheckTable,3,FALSE)), "",(VLOOKUP(SMALL('Error Check Table-Hidden'!B:B,ROW(C220)-3),ErrorCheckTable,3,FALSE)))</f>
        <v/>
      </c>
      <c r="D220" s="59" t="str">
        <f>IF(ISERROR(VLOOKUP(SMALL('Error Check Table-Hidden'!B:B,ROW(C220)-3),ErrorCheckTable,4,FALSE)), "",(VLOOKUP(SMALL('Error Check Table-Hidden'!B:B,ROW(C220)-3),ErrorCheckTable,4,FALSE)))</f>
        <v/>
      </c>
    </row>
    <row r="221" spans="2:4" x14ac:dyDescent="0.2">
      <c r="B221" s="67" t="str">
        <f t="shared" si="3"/>
        <v/>
      </c>
      <c r="C221" s="67" t="str">
        <f>IF(ISERROR(VLOOKUP(SMALL('Error Check Table-Hidden'!B:B,ROW(C221)-3),ErrorCheckTable,3,FALSE)), "",(VLOOKUP(SMALL('Error Check Table-Hidden'!B:B,ROW(C221)-3),ErrorCheckTable,3,FALSE)))</f>
        <v/>
      </c>
      <c r="D221" s="59" t="str">
        <f>IF(ISERROR(VLOOKUP(SMALL('Error Check Table-Hidden'!B:B,ROW(C221)-3),ErrorCheckTable,4,FALSE)), "",(VLOOKUP(SMALL('Error Check Table-Hidden'!B:B,ROW(C221)-3),ErrorCheckTable,4,FALSE)))</f>
        <v/>
      </c>
    </row>
    <row r="222" spans="2:4" x14ac:dyDescent="0.2">
      <c r="B222" s="67" t="str">
        <f t="shared" si="3"/>
        <v/>
      </c>
      <c r="C222" s="67" t="str">
        <f>IF(ISERROR(VLOOKUP(SMALL('Error Check Table-Hidden'!B:B,ROW(C222)-3),ErrorCheckTable,3,FALSE)), "",(VLOOKUP(SMALL('Error Check Table-Hidden'!B:B,ROW(C222)-3),ErrorCheckTable,3,FALSE)))</f>
        <v/>
      </c>
      <c r="D222" s="59" t="str">
        <f>IF(ISERROR(VLOOKUP(SMALL('Error Check Table-Hidden'!B:B,ROW(C222)-3),ErrorCheckTable,4,FALSE)), "",(VLOOKUP(SMALL('Error Check Table-Hidden'!B:B,ROW(C222)-3),ErrorCheckTable,4,FALSE)))</f>
        <v/>
      </c>
    </row>
    <row r="223" spans="2:4" x14ac:dyDescent="0.2">
      <c r="B223" s="67" t="str">
        <f t="shared" si="3"/>
        <v/>
      </c>
      <c r="C223" s="67" t="str">
        <f>IF(ISERROR(VLOOKUP(SMALL('Error Check Table-Hidden'!B:B,ROW(C223)-3),ErrorCheckTable,3,FALSE)), "",(VLOOKUP(SMALL('Error Check Table-Hidden'!B:B,ROW(C223)-3),ErrorCheckTable,3,FALSE)))</f>
        <v/>
      </c>
      <c r="D223" s="59" t="str">
        <f>IF(ISERROR(VLOOKUP(SMALL('Error Check Table-Hidden'!B:B,ROW(C223)-3),ErrorCheckTable,4,FALSE)), "",(VLOOKUP(SMALL('Error Check Table-Hidden'!B:B,ROW(C223)-3),ErrorCheckTable,4,FALSE)))</f>
        <v/>
      </c>
    </row>
    <row r="224" spans="2:4" x14ac:dyDescent="0.2">
      <c r="B224" s="67" t="str">
        <f t="shared" si="3"/>
        <v/>
      </c>
      <c r="C224" s="67" t="str">
        <f>IF(ISERROR(VLOOKUP(SMALL('Error Check Table-Hidden'!B:B,ROW(C224)-3),ErrorCheckTable,3,FALSE)), "",(VLOOKUP(SMALL('Error Check Table-Hidden'!B:B,ROW(C224)-3),ErrorCheckTable,3,FALSE)))</f>
        <v/>
      </c>
      <c r="D224" s="59" t="str">
        <f>IF(ISERROR(VLOOKUP(SMALL('Error Check Table-Hidden'!B:B,ROW(C224)-3),ErrorCheckTable,4,FALSE)), "",(VLOOKUP(SMALL('Error Check Table-Hidden'!B:B,ROW(C224)-3),ErrorCheckTable,4,FALSE)))</f>
        <v/>
      </c>
    </row>
    <row r="225" spans="2:4" x14ac:dyDescent="0.2">
      <c r="B225" s="67" t="str">
        <f t="shared" si="3"/>
        <v/>
      </c>
      <c r="C225" s="67" t="str">
        <f>IF(ISERROR(VLOOKUP(SMALL('Error Check Table-Hidden'!B:B,ROW(C225)-3),ErrorCheckTable,3,FALSE)), "",(VLOOKUP(SMALL('Error Check Table-Hidden'!B:B,ROW(C225)-3),ErrorCheckTable,3,FALSE)))</f>
        <v/>
      </c>
      <c r="D225" s="59" t="str">
        <f>IF(ISERROR(VLOOKUP(SMALL('Error Check Table-Hidden'!B:B,ROW(C225)-3),ErrorCheckTable,4,FALSE)), "",(VLOOKUP(SMALL('Error Check Table-Hidden'!B:B,ROW(C225)-3),ErrorCheckTable,4,FALSE)))</f>
        <v/>
      </c>
    </row>
    <row r="226" spans="2:4" x14ac:dyDescent="0.2">
      <c r="B226" s="67" t="str">
        <f t="shared" si="3"/>
        <v/>
      </c>
      <c r="C226" s="67" t="str">
        <f>IF(ISERROR(VLOOKUP(SMALL('Error Check Table-Hidden'!B:B,ROW(C226)-3),ErrorCheckTable,3,FALSE)), "",(VLOOKUP(SMALL('Error Check Table-Hidden'!B:B,ROW(C226)-3),ErrorCheckTable,3,FALSE)))</f>
        <v/>
      </c>
      <c r="D226" s="59" t="str">
        <f>IF(ISERROR(VLOOKUP(SMALL('Error Check Table-Hidden'!B:B,ROW(C226)-3),ErrorCheckTable,4,FALSE)), "",(VLOOKUP(SMALL('Error Check Table-Hidden'!B:B,ROW(C226)-3),ErrorCheckTable,4,FALSE)))</f>
        <v/>
      </c>
    </row>
    <row r="227" spans="2:4" x14ac:dyDescent="0.2">
      <c r="B227" s="67" t="str">
        <f t="shared" si="3"/>
        <v/>
      </c>
      <c r="C227" s="67" t="str">
        <f>IF(ISERROR(VLOOKUP(SMALL('Error Check Table-Hidden'!B:B,ROW(C227)-3),ErrorCheckTable,3,FALSE)), "",(VLOOKUP(SMALL('Error Check Table-Hidden'!B:B,ROW(C227)-3),ErrorCheckTable,3,FALSE)))</f>
        <v/>
      </c>
      <c r="D227" s="59" t="str">
        <f>IF(ISERROR(VLOOKUP(SMALL('Error Check Table-Hidden'!B:B,ROW(C227)-3),ErrorCheckTable,4,FALSE)), "",(VLOOKUP(SMALL('Error Check Table-Hidden'!B:B,ROW(C227)-3),ErrorCheckTable,4,FALSE)))</f>
        <v/>
      </c>
    </row>
    <row r="228" spans="2:4" x14ac:dyDescent="0.2">
      <c r="B228" s="67" t="str">
        <f t="shared" si="3"/>
        <v/>
      </c>
      <c r="C228" s="67" t="str">
        <f>IF(ISERROR(VLOOKUP(SMALL('Error Check Table-Hidden'!B:B,ROW(C228)-3),ErrorCheckTable,3,FALSE)), "",(VLOOKUP(SMALL('Error Check Table-Hidden'!B:B,ROW(C228)-3),ErrorCheckTable,3,FALSE)))</f>
        <v/>
      </c>
      <c r="D228" s="59" t="str">
        <f>IF(ISERROR(VLOOKUP(SMALL('Error Check Table-Hidden'!B:B,ROW(C228)-3),ErrorCheckTable,4,FALSE)), "",(VLOOKUP(SMALL('Error Check Table-Hidden'!B:B,ROW(C228)-3),ErrorCheckTable,4,FALSE)))</f>
        <v/>
      </c>
    </row>
    <row r="229" spans="2:4" x14ac:dyDescent="0.2">
      <c r="B229" s="67" t="str">
        <f t="shared" si="3"/>
        <v/>
      </c>
      <c r="C229" s="67" t="str">
        <f>IF(ISERROR(VLOOKUP(SMALL('Error Check Table-Hidden'!B:B,ROW(C229)-3),ErrorCheckTable,3,FALSE)), "",(VLOOKUP(SMALL('Error Check Table-Hidden'!B:B,ROW(C229)-3),ErrorCheckTable,3,FALSE)))</f>
        <v/>
      </c>
      <c r="D229" s="59" t="str">
        <f>IF(ISERROR(VLOOKUP(SMALL('Error Check Table-Hidden'!B:B,ROW(C229)-3),ErrorCheckTable,4,FALSE)), "",(VLOOKUP(SMALL('Error Check Table-Hidden'!B:B,ROW(C229)-3),ErrorCheckTable,4,FALSE)))</f>
        <v/>
      </c>
    </row>
    <row r="230" spans="2:4" x14ac:dyDescent="0.2">
      <c r="B230" s="67" t="str">
        <f t="shared" si="3"/>
        <v/>
      </c>
      <c r="C230" s="67" t="str">
        <f>IF(ISERROR(VLOOKUP(SMALL('Error Check Table-Hidden'!B:B,ROW(C230)-3),ErrorCheckTable,3,FALSE)), "",(VLOOKUP(SMALL('Error Check Table-Hidden'!B:B,ROW(C230)-3),ErrorCheckTable,3,FALSE)))</f>
        <v/>
      </c>
      <c r="D230" s="59" t="str">
        <f>IF(ISERROR(VLOOKUP(SMALL('Error Check Table-Hidden'!B:B,ROW(C230)-3),ErrorCheckTable,4,FALSE)), "",(VLOOKUP(SMALL('Error Check Table-Hidden'!B:B,ROW(C230)-3),ErrorCheckTable,4,FALSE)))</f>
        <v/>
      </c>
    </row>
    <row r="231" spans="2:4" x14ac:dyDescent="0.2">
      <c r="B231" s="67" t="str">
        <f t="shared" si="3"/>
        <v/>
      </c>
      <c r="C231" s="67" t="str">
        <f>IF(ISERROR(VLOOKUP(SMALL('Error Check Table-Hidden'!B:B,ROW(C231)-3),ErrorCheckTable,3,FALSE)), "",(VLOOKUP(SMALL('Error Check Table-Hidden'!B:B,ROW(C231)-3),ErrorCheckTable,3,FALSE)))</f>
        <v/>
      </c>
      <c r="D231" s="59" t="str">
        <f>IF(ISERROR(VLOOKUP(SMALL('Error Check Table-Hidden'!B:B,ROW(C231)-3),ErrorCheckTable,4,FALSE)), "",(VLOOKUP(SMALL('Error Check Table-Hidden'!B:B,ROW(C231)-3),ErrorCheckTable,4,FALSE)))</f>
        <v/>
      </c>
    </row>
    <row r="232" spans="2:4" x14ac:dyDescent="0.2">
      <c r="B232" s="67" t="str">
        <f t="shared" si="3"/>
        <v/>
      </c>
      <c r="C232" s="67" t="str">
        <f>IF(ISERROR(VLOOKUP(SMALL('Error Check Table-Hidden'!B:B,ROW(C232)-3),ErrorCheckTable,3,FALSE)), "",(VLOOKUP(SMALL('Error Check Table-Hidden'!B:B,ROW(C232)-3),ErrorCheckTable,3,FALSE)))</f>
        <v/>
      </c>
      <c r="D232" s="59" t="str">
        <f>IF(ISERROR(VLOOKUP(SMALL('Error Check Table-Hidden'!B:B,ROW(C232)-3),ErrorCheckTable,4,FALSE)), "",(VLOOKUP(SMALL('Error Check Table-Hidden'!B:B,ROW(C232)-3),ErrorCheckTable,4,FALSE)))</f>
        <v/>
      </c>
    </row>
    <row r="233" spans="2:4" x14ac:dyDescent="0.2">
      <c r="B233" s="67" t="str">
        <f t="shared" si="3"/>
        <v/>
      </c>
      <c r="C233" s="67" t="str">
        <f>IF(ISERROR(VLOOKUP(SMALL('Error Check Table-Hidden'!B:B,ROW(C233)-3),ErrorCheckTable,3,FALSE)), "",(VLOOKUP(SMALL('Error Check Table-Hidden'!B:B,ROW(C233)-3),ErrorCheckTable,3,FALSE)))</f>
        <v/>
      </c>
      <c r="D233" s="59" t="str">
        <f>IF(ISERROR(VLOOKUP(SMALL('Error Check Table-Hidden'!B:B,ROW(C233)-3),ErrorCheckTable,4,FALSE)), "",(VLOOKUP(SMALL('Error Check Table-Hidden'!B:B,ROW(C233)-3),ErrorCheckTable,4,FALSE)))</f>
        <v/>
      </c>
    </row>
    <row r="234" spans="2:4" x14ac:dyDescent="0.2">
      <c r="B234" s="67" t="str">
        <f t="shared" si="3"/>
        <v/>
      </c>
      <c r="C234" s="67" t="str">
        <f>IF(ISERROR(VLOOKUP(SMALL('Error Check Table-Hidden'!B:B,ROW(C234)-3),ErrorCheckTable,3,FALSE)), "",(VLOOKUP(SMALL('Error Check Table-Hidden'!B:B,ROW(C234)-3),ErrorCheckTable,3,FALSE)))</f>
        <v/>
      </c>
      <c r="D234" s="59" t="str">
        <f>IF(ISERROR(VLOOKUP(SMALL('Error Check Table-Hidden'!B:B,ROW(C234)-3),ErrorCheckTable,4,FALSE)), "",(VLOOKUP(SMALL('Error Check Table-Hidden'!B:B,ROW(C234)-3),ErrorCheckTable,4,FALSE)))</f>
        <v/>
      </c>
    </row>
    <row r="235" spans="2:4" x14ac:dyDescent="0.2">
      <c r="B235" s="67" t="str">
        <f t="shared" si="3"/>
        <v/>
      </c>
      <c r="C235" s="67" t="str">
        <f>IF(ISERROR(VLOOKUP(SMALL('Error Check Table-Hidden'!B:B,ROW(C235)-3),ErrorCheckTable,3,FALSE)), "",(VLOOKUP(SMALL('Error Check Table-Hidden'!B:B,ROW(C235)-3),ErrorCheckTable,3,FALSE)))</f>
        <v/>
      </c>
      <c r="D235" s="59" t="str">
        <f>IF(ISERROR(VLOOKUP(SMALL('Error Check Table-Hidden'!B:B,ROW(C235)-3),ErrorCheckTable,4,FALSE)), "",(VLOOKUP(SMALL('Error Check Table-Hidden'!B:B,ROW(C235)-3),ErrorCheckTable,4,FALSE)))</f>
        <v/>
      </c>
    </row>
    <row r="236" spans="2:4" x14ac:dyDescent="0.2">
      <c r="B236" s="67" t="str">
        <f t="shared" si="3"/>
        <v/>
      </c>
      <c r="C236" s="67" t="str">
        <f>IF(ISERROR(VLOOKUP(SMALL('Error Check Table-Hidden'!B:B,ROW(C236)-3),ErrorCheckTable,3,FALSE)), "",(VLOOKUP(SMALL('Error Check Table-Hidden'!B:B,ROW(C236)-3),ErrorCheckTable,3,FALSE)))</f>
        <v/>
      </c>
      <c r="D236" s="59" t="str">
        <f>IF(ISERROR(VLOOKUP(SMALL('Error Check Table-Hidden'!B:B,ROW(C236)-3),ErrorCheckTable,4,FALSE)), "",(VLOOKUP(SMALL('Error Check Table-Hidden'!B:B,ROW(C236)-3),ErrorCheckTable,4,FALSE)))</f>
        <v/>
      </c>
    </row>
    <row r="237" spans="2:4" x14ac:dyDescent="0.2">
      <c r="B237" s="67" t="str">
        <f>IF(C237&lt;&gt;"",B236+1,"")</f>
        <v/>
      </c>
      <c r="C237" s="67" t="str">
        <f>IF(ISERROR(VLOOKUP(SMALL('Error Check Table-Hidden'!B:B,ROW(C237)-3),ErrorCheckTable,3,FALSE)), "",(VLOOKUP(SMALL('Error Check Table-Hidden'!B:B,ROW(C237)-3),ErrorCheckTable,3,FALSE)))</f>
        <v/>
      </c>
      <c r="D237" s="59" t="str">
        <f>IF(ISERROR(VLOOKUP(SMALL('Error Check Table-Hidden'!B:B,ROW(C237)-3),ErrorCheckTable,4,FALSE)), "",(VLOOKUP(SMALL('Error Check Table-Hidden'!B:B,ROW(C237)-3),ErrorCheckTable,4,FALSE)))</f>
        <v/>
      </c>
    </row>
    <row r="238" spans="2:4" x14ac:dyDescent="0.2">
      <c r="B238" s="67" t="str">
        <f t="shared" ref="B238:B301" si="4">IF(C238&lt;&gt;"",B237+1,"")</f>
        <v/>
      </c>
      <c r="C238" s="67" t="str">
        <f>IF(ISERROR(VLOOKUP(SMALL('Error Check Table-Hidden'!B:B,ROW(C238)-3),ErrorCheckTable,3,FALSE)), "",(VLOOKUP(SMALL('Error Check Table-Hidden'!B:B,ROW(C238)-3),ErrorCheckTable,3,FALSE)))</f>
        <v/>
      </c>
      <c r="D238" s="59" t="str">
        <f>IF(ISERROR(VLOOKUP(SMALL('Error Check Table-Hidden'!B:B,ROW(C238)-3),ErrorCheckTable,4,FALSE)), "",(VLOOKUP(SMALL('Error Check Table-Hidden'!B:B,ROW(C238)-3),ErrorCheckTable,4,FALSE)))</f>
        <v/>
      </c>
    </row>
    <row r="239" spans="2:4" x14ac:dyDescent="0.2">
      <c r="B239" s="67" t="str">
        <f t="shared" si="4"/>
        <v/>
      </c>
      <c r="C239" s="67" t="str">
        <f>IF(ISERROR(VLOOKUP(SMALL('Error Check Table-Hidden'!B:B,ROW(C239)-3),ErrorCheckTable,3,FALSE)), "",(VLOOKUP(SMALL('Error Check Table-Hidden'!B:B,ROW(C239)-3),ErrorCheckTable,3,FALSE)))</f>
        <v/>
      </c>
      <c r="D239" s="59" t="str">
        <f>IF(ISERROR(VLOOKUP(SMALL('Error Check Table-Hidden'!B:B,ROW(C239)-3),ErrorCheckTable,4,FALSE)), "",(VLOOKUP(SMALL('Error Check Table-Hidden'!B:B,ROW(C239)-3),ErrorCheckTable,4,FALSE)))</f>
        <v/>
      </c>
    </row>
    <row r="240" spans="2:4" x14ac:dyDescent="0.2">
      <c r="B240" s="67" t="str">
        <f t="shared" si="4"/>
        <v/>
      </c>
      <c r="C240" s="67" t="str">
        <f>IF(ISERROR(VLOOKUP(SMALL('Error Check Table-Hidden'!B:B,ROW(C240)-3),ErrorCheckTable,3,FALSE)), "",(VLOOKUP(SMALL('Error Check Table-Hidden'!B:B,ROW(C240)-3),ErrorCheckTable,3,FALSE)))</f>
        <v/>
      </c>
      <c r="D240" s="59" t="str">
        <f>IF(ISERROR(VLOOKUP(SMALL('Error Check Table-Hidden'!B:B,ROW(C240)-3),ErrorCheckTable,4,FALSE)), "",(VLOOKUP(SMALL('Error Check Table-Hidden'!B:B,ROW(C240)-3),ErrorCheckTable,4,FALSE)))</f>
        <v/>
      </c>
    </row>
    <row r="241" spans="2:4" x14ac:dyDescent="0.2">
      <c r="B241" s="67" t="str">
        <f t="shared" si="4"/>
        <v/>
      </c>
      <c r="C241" s="67" t="str">
        <f>IF(ISERROR(VLOOKUP(SMALL('Error Check Table-Hidden'!B:B,ROW(C241)-3),ErrorCheckTable,3,FALSE)), "",(VLOOKUP(SMALL('Error Check Table-Hidden'!B:B,ROW(C241)-3),ErrorCheckTable,3,FALSE)))</f>
        <v/>
      </c>
      <c r="D241" s="59" t="str">
        <f>IF(ISERROR(VLOOKUP(SMALL('Error Check Table-Hidden'!B:B,ROW(C241)-3),ErrorCheckTable,4,FALSE)), "",(VLOOKUP(SMALL('Error Check Table-Hidden'!B:B,ROW(C241)-3),ErrorCheckTable,4,FALSE)))</f>
        <v/>
      </c>
    </row>
    <row r="242" spans="2:4" x14ac:dyDescent="0.2">
      <c r="B242" s="67" t="str">
        <f t="shared" si="4"/>
        <v/>
      </c>
      <c r="C242" s="67" t="str">
        <f>IF(ISERROR(VLOOKUP(SMALL('Error Check Table-Hidden'!B:B,ROW(C242)-3),ErrorCheckTable,3,FALSE)), "",(VLOOKUP(SMALL('Error Check Table-Hidden'!B:B,ROW(C242)-3),ErrorCheckTable,3,FALSE)))</f>
        <v/>
      </c>
      <c r="D242" s="59" t="str">
        <f>IF(ISERROR(VLOOKUP(SMALL('Error Check Table-Hidden'!B:B,ROW(C242)-3),ErrorCheckTable,4,FALSE)), "",(VLOOKUP(SMALL('Error Check Table-Hidden'!B:B,ROW(C242)-3),ErrorCheckTable,4,FALSE)))</f>
        <v/>
      </c>
    </row>
    <row r="243" spans="2:4" x14ac:dyDescent="0.2">
      <c r="B243" s="67" t="str">
        <f t="shared" si="4"/>
        <v/>
      </c>
      <c r="C243" s="67" t="str">
        <f>IF(ISERROR(VLOOKUP(SMALL('Error Check Table-Hidden'!B:B,ROW(C243)-3),ErrorCheckTable,3,FALSE)), "",(VLOOKUP(SMALL('Error Check Table-Hidden'!B:B,ROW(C243)-3),ErrorCheckTable,3,FALSE)))</f>
        <v/>
      </c>
      <c r="D243" s="59" t="str">
        <f>IF(ISERROR(VLOOKUP(SMALL('Error Check Table-Hidden'!B:B,ROW(C243)-3),ErrorCheckTable,4,FALSE)), "",(VLOOKUP(SMALL('Error Check Table-Hidden'!B:B,ROW(C243)-3),ErrorCheckTable,4,FALSE)))</f>
        <v/>
      </c>
    </row>
    <row r="244" spans="2:4" x14ac:dyDescent="0.2">
      <c r="B244" s="67" t="str">
        <f t="shared" si="4"/>
        <v/>
      </c>
      <c r="C244" s="67" t="str">
        <f>IF(ISERROR(VLOOKUP(SMALL('Error Check Table-Hidden'!B:B,ROW(C244)-3),ErrorCheckTable,3,FALSE)), "",(VLOOKUP(SMALL('Error Check Table-Hidden'!B:B,ROW(C244)-3),ErrorCheckTable,3,FALSE)))</f>
        <v/>
      </c>
      <c r="D244" s="59" t="str">
        <f>IF(ISERROR(VLOOKUP(SMALL('Error Check Table-Hidden'!B:B,ROW(C244)-3),ErrorCheckTable,4,FALSE)), "",(VLOOKUP(SMALL('Error Check Table-Hidden'!B:B,ROW(C244)-3),ErrorCheckTable,4,FALSE)))</f>
        <v/>
      </c>
    </row>
    <row r="245" spans="2:4" x14ac:dyDescent="0.2">
      <c r="B245" s="67" t="str">
        <f t="shared" si="4"/>
        <v/>
      </c>
      <c r="C245" s="67" t="str">
        <f>IF(ISERROR(VLOOKUP(SMALL('Error Check Table-Hidden'!B:B,ROW(C245)-3),ErrorCheckTable,3,FALSE)), "",(VLOOKUP(SMALL('Error Check Table-Hidden'!B:B,ROW(C245)-3),ErrorCheckTable,3,FALSE)))</f>
        <v/>
      </c>
      <c r="D245" s="59" t="str">
        <f>IF(ISERROR(VLOOKUP(SMALL('Error Check Table-Hidden'!B:B,ROW(C245)-3),ErrorCheckTable,4,FALSE)), "",(VLOOKUP(SMALL('Error Check Table-Hidden'!B:B,ROW(C245)-3),ErrorCheckTable,4,FALSE)))</f>
        <v/>
      </c>
    </row>
    <row r="246" spans="2:4" x14ac:dyDescent="0.2">
      <c r="B246" s="67" t="str">
        <f t="shared" si="4"/>
        <v/>
      </c>
      <c r="C246" s="67" t="str">
        <f>IF(ISERROR(VLOOKUP(SMALL('Error Check Table-Hidden'!B:B,ROW(C246)-3),ErrorCheckTable,3,FALSE)), "",(VLOOKUP(SMALL('Error Check Table-Hidden'!B:B,ROW(C246)-3),ErrorCheckTable,3,FALSE)))</f>
        <v/>
      </c>
      <c r="D246" s="59" t="str">
        <f>IF(ISERROR(VLOOKUP(SMALL('Error Check Table-Hidden'!B:B,ROW(C246)-3),ErrorCheckTable,4,FALSE)), "",(VLOOKUP(SMALL('Error Check Table-Hidden'!B:B,ROW(C246)-3),ErrorCheckTable,4,FALSE)))</f>
        <v/>
      </c>
    </row>
    <row r="247" spans="2:4" x14ac:dyDescent="0.2">
      <c r="B247" s="67" t="str">
        <f t="shared" si="4"/>
        <v/>
      </c>
      <c r="C247" s="67" t="str">
        <f>IF(ISERROR(VLOOKUP(SMALL('Error Check Table-Hidden'!B:B,ROW(C247)-3),ErrorCheckTable,3,FALSE)), "",(VLOOKUP(SMALL('Error Check Table-Hidden'!B:B,ROW(C247)-3),ErrorCheckTable,3,FALSE)))</f>
        <v/>
      </c>
      <c r="D247" s="59" t="str">
        <f>IF(ISERROR(VLOOKUP(SMALL('Error Check Table-Hidden'!B:B,ROW(C247)-3),ErrorCheckTable,4,FALSE)), "",(VLOOKUP(SMALL('Error Check Table-Hidden'!B:B,ROW(C247)-3),ErrorCheckTable,4,FALSE)))</f>
        <v/>
      </c>
    </row>
    <row r="248" spans="2:4" x14ac:dyDescent="0.2">
      <c r="B248" s="67" t="str">
        <f t="shared" si="4"/>
        <v/>
      </c>
      <c r="C248" s="67" t="str">
        <f>IF(ISERROR(VLOOKUP(SMALL('Error Check Table-Hidden'!B:B,ROW(C248)-3),ErrorCheckTable,3,FALSE)), "",(VLOOKUP(SMALL('Error Check Table-Hidden'!B:B,ROW(C248)-3),ErrorCheckTable,3,FALSE)))</f>
        <v/>
      </c>
      <c r="D248" s="59" t="str">
        <f>IF(ISERROR(VLOOKUP(SMALL('Error Check Table-Hidden'!B:B,ROW(C248)-3),ErrorCheckTable,4,FALSE)), "",(VLOOKUP(SMALL('Error Check Table-Hidden'!B:B,ROW(C248)-3),ErrorCheckTable,4,FALSE)))</f>
        <v/>
      </c>
    </row>
    <row r="249" spans="2:4" x14ac:dyDescent="0.2">
      <c r="B249" s="67" t="str">
        <f t="shared" si="4"/>
        <v/>
      </c>
      <c r="C249" s="67" t="str">
        <f>IF(ISERROR(VLOOKUP(SMALL('Error Check Table-Hidden'!B:B,ROW(C249)-3),ErrorCheckTable,3,FALSE)), "",(VLOOKUP(SMALL('Error Check Table-Hidden'!B:B,ROW(C249)-3),ErrorCheckTable,3,FALSE)))</f>
        <v/>
      </c>
      <c r="D249" s="59" t="str">
        <f>IF(ISERROR(VLOOKUP(SMALL('Error Check Table-Hidden'!B:B,ROW(C249)-3),ErrorCheckTable,4,FALSE)), "",(VLOOKUP(SMALL('Error Check Table-Hidden'!B:B,ROW(C249)-3),ErrorCheckTable,4,FALSE)))</f>
        <v/>
      </c>
    </row>
    <row r="250" spans="2:4" x14ac:dyDescent="0.2">
      <c r="B250" s="67" t="str">
        <f t="shared" si="4"/>
        <v/>
      </c>
      <c r="C250" s="67" t="str">
        <f>IF(ISERROR(VLOOKUP(SMALL('Error Check Table-Hidden'!B:B,ROW(C250)-3),ErrorCheckTable,3,FALSE)), "",(VLOOKUP(SMALL('Error Check Table-Hidden'!B:B,ROW(C250)-3),ErrorCheckTable,3,FALSE)))</f>
        <v/>
      </c>
      <c r="D250" s="59" t="str">
        <f>IF(ISERROR(VLOOKUP(SMALL('Error Check Table-Hidden'!B:B,ROW(C250)-3),ErrorCheckTable,4,FALSE)), "",(VLOOKUP(SMALL('Error Check Table-Hidden'!B:B,ROW(C250)-3),ErrorCheckTable,4,FALSE)))</f>
        <v/>
      </c>
    </row>
    <row r="251" spans="2:4" x14ac:dyDescent="0.2">
      <c r="B251" s="67" t="str">
        <f t="shared" si="4"/>
        <v/>
      </c>
      <c r="C251" s="67" t="str">
        <f>IF(ISERROR(VLOOKUP(SMALL('Error Check Table-Hidden'!B:B,ROW(C251)-3),ErrorCheckTable,3,FALSE)), "",(VLOOKUP(SMALL('Error Check Table-Hidden'!B:B,ROW(C251)-3),ErrorCheckTable,3,FALSE)))</f>
        <v/>
      </c>
      <c r="D251" s="59" t="str">
        <f>IF(ISERROR(VLOOKUP(SMALL('Error Check Table-Hidden'!B:B,ROW(C251)-3),ErrorCheckTable,4,FALSE)), "",(VLOOKUP(SMALL('Error Check Table-Hidden'!B:B,ROW(C251)-3),ErrorCheckTable,4,FALSE)))</f>
        <v/>
      </c>
    </row>
    <row r="252" spans="2:4" x14ac:dyDescent="0.2">
      <c r="B252" s="67" t="str">
        <f t="shared" si="4"/>
        <v/>
      </c>
      <c r="C252" s="67" t="str">
        <f>IF(ISERROR(VLOOKUP(SMALL('Error Check Table-Hidden'!B:B,ROW(C252)-3),ErrorCheckTable,3,FALSE)), "",(VLOOKUP(SMALL('Error Check Table-Hidden'!B:B,ROW(C252)-3),ErrorCheckTable,3,FALSE)))</f>
        <v/>
      </c>
      <c r="D252" s="59" t="str">
        <f>IF(ISERROR(VLOOKUP(SMALL('Error Check Table-Hidden'!B:B,ROW(C252)-3),ErrorCheckTable,4,FALSE)), "",(VLOOKUP(SMALL('Error Check Table-Hidden'!B:B,ROW(C252)-3),ErrorCheckTable,4,FALSE)))</f>
        <v/>
      </c>
    </row>
    <row r="253" spans="2:4" x14ac:dyDescent="0.2">
      <c r="B253" s="67" t="str">
        <f t="shared" si="4"/>
        <v/>
      </c>
      <c r="C253" s="67" t="str">
        <f>IF(ISERROR(VLOOKUP(SMALL('Error Check Table-Hidden'!B:B,ROW(C253)-3),ErrorCheckTable,3,FALSE)), "",(VLOOKUP(SMALL('Error Check Table-Hidden'!B:B,ROW(C253)-3),ErrorCheckTable,3,FALSE)))</f>
        <v/>
      </c>
      <c r="D253" s="59" t="str">
        <f>IF(ISERROR(VLOOKUP(SMALL('Error Check Table-Hidden'!B:B,ROW(C253)-3),ErrorCheckTable,4,FALSE)), "",(VLOOKUP(SMALL('Error Check Table-Hidden'!B:B,ROW(C253)-3),ErrorCheckTable,4,FALSE)))</f>
        <v/>
      </c>
    </row>
    <row r="254" spans="2:4" x14ac:dyDescent="0.2">
      <c r="B254" s="67" t="str">
        <f t="shared" si="4"/>
        <v/>
      </c>
      <c r="C254" s="67" t="str">
        <f>IF(ISERROR(VLOOKUP(SMALL('Error Check Table-Hidden'!B:B,ROW(C254)-3),ErrorCheckTable,3,FALSE)), "",(VLOOKUP(SMALL('Error Check Table-Hidden'!B:B,ROW(C254)-3),ErrorCheckTable,3,FALSE)))</f>
        <v/>
      </c>
      <c r="D254" s="59" t="str">
        <f>IF(ISERROR(VLOOKUP(SMALL('Error Check Table-Hidden'!B:B,ROW(C254)-3),ErrorCheckTable,4,FALSE)), "",(VLOOKUP(SMALL('Error Check Table-Hidden'!B:B,ROW(C254)-3),ErrorCheckTable,4,FALSE)))</f>
        <v/>
      </c>
    </row>
    <row r="255" spans="2:4" x14ac:dyDescent="0.2">
      <c r="B255" s="67" t="str">
        <f t="shared" si="4"/>
        <v/>
      </c>
      <c r="C255" s="67" t="str">
        <f>IF(ISERROR(VLOOKUP(SMALL('Error Check Table-Hidden'!B:B,ROW(C255)-3),ErrorCheckTable,3,FALSE)), "",(VLOOKUP(SMALL('Error Check Table-Hidden'!B:B,ROW(C255)-3),ErrorCheckTable,3,FALSE)))</f>
        <v/>
      </c>
      <c r="D255" s="59" t="str">
        <f>IF(ISERROR(VLOOKUP(SMALL('Error Check Table-Hidden'!B:B,ROW(C255)-3),ErrorCheckTable,4,FALSE)), "",(VLOOKUP(SMALL('Error Check Table-Hidden'!B:B,ROW(C255)-3),ErrorCheckTable,4,FALSE)))</f>
        <v/>
      </c>
    </row>
    <row r="256" spans="2:4" x14ac:dyDescent="0.2">
      <c r="B256" s="67" t="str">
        <f t="shared" si="4"/>
        <v/>
      </c>
      <c r="C256" s="67" t="str">
        <f>IF(ISERROR(VLOOKUP(SMALL('Error Check Table-Hidden'!B:B,ROW(C256)-3),ErrorCheckTable,3,FALSE)), "",(VLOOKUP(SMALL('Error Check Table-Hidden'!B:B,ROW(C256)-3),ErrorCheckTable,3,FALSE)))</f>
        <v/>
      </c>
      <c r="D256" s="59" t="str">
        <f>IF(ISERROR(VLOOKUP(SMALL('Error Check Table-Hidden'!B:B,ROW(C256)-3),ErrorCheckTable,4,FALSE)), "",(VLOOKUP(SMALL('Error Check Table-Hidden'!B:B,ROW(C256)-3),ErrorCheckTable,4,FALSE)))</f>
        <v/>
      </c>
    </row>
    <row r="257" spans="2:4" x14ac:dyDescent="0.2">
      <c r="B257" s="67" t="str">
        <f t="shared" si="4"/>
        <v/>
      </c>
      <c r="C257" s="67" t="str">
        <f>IF(ISERROR(VLOOKUP(SMALL('Error Check Table-Hidden'!B:B,ROW(C257)-3),ErrorCheckTable,3,FALSE)), "",(VLOOKUP(SMALL('Error Check Table-Hidden'!B:B,ROW(C257)-3),ErrorCheckTable,3,FALSE)))</f>
        <v/>
      </c>
      <c r="D257" s="59" t="str">
        <f>IF(ISERROR(VLOOKUP(SMALL('Error Check Table-Hidden'!B:B,ROW(C257)-3),ErrorCheckTable,4,FALSE)), "",(VLOOKUP(SMALL('Error Check Table-Hidden'!B:B,ROW(C257)-3),ErrorCheckTable,4,FALSE)))</f>
        <v/>
      </c>
    </row>
    <row r="258" spans="2:4" x14ac:dyDescent="0.2">
      <c r="B258" s="67" t="str">
        <f t="shared" si="4"/>
        <v/>
      </c>
      <c r="C258" s="67" t="str">
        <f>IF(ISERROR(VLOOKUP(SMALL('Error Check Table-Hidden'!B:B,ROW(C258)-3),ErrorCheckTable,3,FALSE)), "",(VLOOKUP(SMALL('Error Check Table-Hidden'!B:B,ROW(C258)-3),ErrorCheckTable,3,FALSE)))</f>
        <v/>
      </c>
      <c r="D258" s="59" t="str">
        <f>IF(ISERROR(VLOOKUP(SMALL('Error Check Table-Hidden'!B:B,ROW(C258)-3),ErrorCheckTable,4,FALSE)), "",(VLOOKUP(SMALL('Error Check Table-Hidden'!B:B,ROW(C258)-3),ErrorCheckTable,4,FALSE)))</f>
        <v/>
      </c>
    </row>
    <row r="259" spans="2:4" x14ac:dyDescent="0.2">
      <c r="B259" s="67" t="str">
        <f t="shared" si="4"/>
        <v/>
      </c>
      <c r="C259" s="67" t="str">
        <f>IF(ISERROR(VLOOKUP(SMALL('Error Check Table-Hidden'!B:B,ROW(C259)-3),ErrorCheckTable,3,FALSE)), "",(VLOOKUP(SMALL('Error Check Table-Hidden'!B:B,ROW(C259)-3),ErrorCheckTable,3,FALSE)))</f>
        <v/>
      </c>
      <c r="D259" s="59" t="str">
        <f>IF(ISERROR(VLOOKUP(SMALL('Error Check Table-Hidden'!B:B,ROW(C259)-3),ErrorCheckTable,4,FALSE)), "",(VLOOKUP(SMALL('Error Check Table-Hidden'!B:B,ROW(C259)-3),ErrorCheckTable,4,FALSE)))</f>
        <v/>
      </c>
    </row>
    <row r="260" spans="2:4" x14ac:dyDescent="0.2">
      <c r="B260" s="67" t="str">
        <f t="shared" si="4"/>
        <v/>
      </c>
      <c r="C260" s="67" t="str">
        <f>IF(ISERROR(VLOOKUP(SMALL('Error Check Table-Hidden'!B:B,ROW(C260)-3),ErrorCheckTable,3,FALSE)), "",(VLOOKUP(SMALL('Error Check Table-Hidden'!B:B,ROW(C260)-3),ErrorCheckTable,3,FALSE)))</f>
        <v/>
      </c>
      <c r="D260" s="59" t="str">
        <f>IF(ISERROR(VLOOKUP(SMALL('Error Check Table-Hidden'!B:B,ROW(C260)-3),ErrorCheckTable,4,FALSE)), "",(VLOOKUP(SMALL('Error Check Table-Hidden'!B:B,ROW(C260)-3),ErrorCheckTable,4,FALSE)))</f>
        <v/>
      </c>
    </row>
    <row r="261" spans="2:4" x14ac:dyDescent="0.2">
      <c r="B261" s="67" t="str">
        <f t="shared" si="4"/>
        <v/>
      </c>
      <c r="C261" s="67" t="str">
        <f>IF(ISERROR(VLOOKUP(SMALL('Error Check Table-Hidden'!B:B,ROW(C261)-3),ErrorCheckTable,3,FALSE)), "",(VLOOKUP(SMALL('Error Check Table-Hidden'!B:B,ROW(C261)-3),ErrorCheckTable,3,FALSE)))</f>
        <v/>
      </c>
      <c r="D261" s="59" t="str">
        <f>IF(ISERROR(VLOOKUP(SMALL('Error Check Table-Hidden'!B:B,ROW(C261)-3),ErrorCheckTable,4,FALSE)), "",(VLOOKUP(SMALL('Error Check Table-Hidden'!B:B,ROW(C261)-3),ErrorCheckTable,4,FALSE)))</f>
        <v/>
      </c>
    </row>
    <row r="262" spans="2:4" x14ac:dyDescent="0.2">
      <c r="B262" s="67" t="str">
        <f t="shared" si="4"/>
        <v/>
      </c>
      <c r="C262" s="67" t="str">
        <f>IF(ISERROR(VLOOKUP(SMALL('Error Check Table-Hidden'!B:B,ROW(C262)-3),ErrorCheckTable,3,FALSE)), "",(VLOOKUP(SMALL('Error Check Table-Hidden'!B:B,ROW(C262)-3),ErrorCheckTable,3,FALSE)))</f>
        <v/>
      </c>
      <c r="D262" s="59" t="str">
        <f>IF(ISERROR(VLOOKUP(SMALL('Error Check Table-Hidden'!B:B,ROW(C262)-3),ErrorCheckTable,4,FALSE)), "",(VLOOKUP(SMALL('Error Check Table-Hidden'!B:B,ROW(C262)-3),ErrorCheckTable,4,FALSE)))</f>
        <v/>
      </c>
    </row>
    <row r="263" spans="2:4" x14ac:dyDescent="0.2">
      <c r="B263" s="67" t="str">
        <f t="shared" si="4"/>
        <v/>
      </c>
      <c r="C263" s="67" t="str">
        <f>IF(ISERROR(VLOOKUP(SMALL('Error Check Table-Hidden'!B:B,ROW(C263)-3),ErrorCheckTable,3,FALSE)), "",(VLOOKUP(SMALL('Error Check Table-Hidden'!B:B,ROW(C263)-3),ErrorCheckTable,3,FALSE)))</f>
        <v/>
      </c>
      <c r="D263" s="59" t="str">
        <f>IF(ISERROR(VLOOKUP(SMALL('Error Check Table-Hidden'!B:B,ROW(C263)-3),ErrorCheckTable,4,FALSE)), "",(VLOOKUP(SMALL('Error Check Table-Hidden'!B:B,ROW(C263)-3),ErrorCheckTable,4,FALSE)))</f>
        <v/>
      </c>
    </row>
    <row r="264" spans="2:4" x14ac:dyDescent="0.2">
      <c r="B264" s="67" t="str">
        <f t="shared" si="4"/>
        <v/>
      </c>
      <c r="C264" s="67" t="str">
        <f>IF(ISERROR(VLOOKUP(SMALL('Error Check Table-Hidden'!B:B,ROW(C264)-3),ErrorCheckTable,3,FALSE)), "",(VLOOKUP(SMALL('Error Check Table-Hidden'!B:B,ROW(C264)-3),ErrorCheckTable,3,FALSE)))</f>
        <v/>
      </c>
      <c r="D264" s="59" t="str">
        <f>IF(ISERROR(VLOOKUP(SMALL('Error Check Table-Hidden'!B:B,ROW(C264)-3),ErrorCheckTable,4,FALSE)), "",(VLOOKUP(SMALL('Error Check Table-Hidden'!B:B,ROW(C264)-3),ErrorCheckTable,4,FALSE)))</f>
        <v/>
      </c>
    </row>
    <row r="265" spans="2:4" x14ac:dyDescent="0.2">
      <c r="B265" s="67" t="str">
        <f t="shared" si="4"/>
        <v/>
      </c>
      <c r="C265" s="67" t="str">
        <f>IF(ISERROR(VLOOKUP(SMALL('Error Check Table-Hidden'!B:B,ROW(C265)-3),ErrorCheckTable,3,FALSE)), "",(VLOOKUP(SMALL('Error Check Table-Hidden'!B:B,ROW(C265)-3),ErrorCheckTable,3,FALSE)))</f>
        <v/>
      </c>
      <c r="D265" s="59" t="str">
        <f>IF(ISERROR(VLOOKUP(SMALL('Error Check Table-Hidden'!B:B,ROW(C265)-3),ErrorCheckTable,4,FALSE)), "",(VLOOKUP(SMALL('Error Check Table-Hidden'!B:B,ROW(C265)-3),ErrorCheckTable,4,FALSE)))</f>
        <v/>
      </c>
    </row>
    <row r="266" spans="2:4" x14ac:dyDescent="0.2">
      <c r="B266" s="67" t="str">
        <f t="shared" si="4"/>
        <v/>
      </c>
      <c r="C266" s="67" t="str">
        <f>IF(ISERROR(VLOOKUP(SMALL('Error Check Table-Hidden'!B:B,ROW(C266)-3),ErrorCheckTable,3,FALSE)), "",(VLOOKUP(SMALL('Error Check Table-Hidden'!B:B,ROW(C266)-3),ErrorCheckTable,3,FALSE)))</f>
        <v/>
      </c>
      <c r="D266" s="59" t="str">
        <f>IF(ISERROR(VLOOKUP(SMALL('Error Check Table-Hidden'!B:B,ROW(C266)-3),ErrorCheckTable,4,FALSE)), "",(VLOOKUP(SMALL('Error Check Table-Hidden'!B:B,ROW(C266)-3),ErrorCheckTable,4,FALSE)))</f>
        <v/>
      </c>
    </row>
    <row r="267" spans="2:4" x14ac:dyDescent="0.2">
      <c r="B267" s="67" t="str">
        <f t="shared" si="4"/>
        <v/>
      </c>
      <c r="C267" s="67" t="str">
        <f>IF(ISERROR(VLOOKUP(SMALL('Error Check Table-Hidden'!B:B,ROW(C267)-3),ErrorCheckTable,3,FALSE)), "",(VLOOKUP(SMALL('Error Check Table-Hidden'!B:B,ROW(C267)-3),ErrorCheckTable,3,FALSE)))</f>
        <v/>
      </c>
      <c r="D267" s="59" t="str">
        <f>IF(ISERROR(VLOOKUP(SMALL('Error Check Table-Hidden'!B:B,ROW(C267)-3),ErrorCheckTable,4,FALSE)), "",(VLOOKUP(SMALL('Error Check Table-Hidden'!B:B,ROW(C267)-3),ErrorCheckTable,4,FALSE)))</f>
        <v/>
      </c>
    </row>
    <row r="268" spans="2:4" x14ac:dyDescent="0.2">
      <c r="B268" s="67" t="str">
        <f t="shared" si="4"/>
        <v/>
      </c>
      <c r="C268" s="67" t="str">
        <f>IF(ISERROR(VLOOKUP(SMALL('Error Check Table-Hidden'!B:B,ROW(C268)-3),ErrorCheckTable,3,FALSE)), "",(VLOOKUP(SMALL('Error Check Table-Hidden'!B:B,ROW(C268)-3),ErrorCheckTable,3,FALSE)))</f>
        <v/>
      </c>
      <c r="D268" s="59" t="str">
        <f>IF(ISERROR(VLOOKUP(SMALL('Error Check Table-Hidden'!B:B,ROW(C268)-3),ErrorCheckTable,4,FALSE)), "",(VLOOKUP(SMALL('Error Check Table-Hidden'!B:B,ROW(C268)-3),ErrorCheckTable,4,FALSE)))</f>
        <v/>
      </c>
    </row>
    <row r="269" spans="2:4" x14ac:dyDescent="0.2">
      <c r="B269" s="67" t="str">
        <f t="shared" si="4"/>
        <v/>
      </c>
      <c r="C269" s="67" t="str">
        <f>IF(ISERROR(VLOOKUP(SMALL('Error Check Table-Hidden'!B:B,ROW(C269)-3),ErrorCheckTable,3,FALSE)), "",(VLOOKUP(SMALL('Error Check Table-Hidden'!B:B,ROW(C269)-3),ErrorCheckTable,3,FALSE)))</f>
        <v/>
      </c>
      <c r="D269" s="59" t="str">
        <f>IF(ISERROR(VLOOKUP(SMALL('Error Check Table-Hidden'!B:B,ROW(C269)-3),ErrorCheckTable,4,FALSE)), "",(VLOOKUP(SMALL('Error Check Table-Hidden'!B:B,ROW(C269)-3),ErrorCheckTable,4,FALSE)))</f>
        <v/>
      </c>
    </row>
    <row r="270" spans="2:4" x14ac:dyDescent="0.2">
      <c r="B270" s="67" t="str">
        <f t="shared" si="4"/>
        <v/>
      </c>
      <c r="C270" s="67" t="str">
        <f>IF(ISERROR(VLOOKUP(SMALL('Error Check Table-Hidden'!B:B,ROW(C270)-3),ErrorCheckTable,3,FALSE)), "",(VLOOKUP(SMALL('Error Check Table-Hidden'!B:B,ROW(C270)-3),ErrorCheckTable,3,FALSE)))</f>
        <v/>
      </c>
      <c r="D270" s="59" t="str">
        <f>IF(ISERROR(VLOOKUP(SMALL('Error Check Table-Hidden'!B:B,ROW(C270)-3),ErrorCheckTable,4,FALSE)), "",(VLOOKUP(SMALL('Error Check Table-Hidden'!B:B,ROW(C270)-3),ErrorCheckTable,4,FALSE)))</f>
        <v/>
      </c>
    </row>
    <row r="271" spans="2:4" x14ac:dyDescent="0.2">
      <c r="B271" s="67" t="str">
        <f t="shared" si="4"/>
        <v/>
      </c>
      <c r="C271" s="67" t="str">
        <f>IF(ISERROR(VLOOKUP(SMALL('Error Check Table-Hidden'!B:B,ROW(C271)-3),ErrorCheckTable,3,FALSE)), "",(VLOOKUP(SMALL('Error Check Table-Hidden'!B:B,ROW(C271)-3),ErrorCheckTable,3,FALSE)))</f>
        <v/>
      </c>
      <c r="D271" s="59" t="str">
        <f>IF(ISERROR(VLOOKUP(SMALL('Error Check Table-Hidden'!B:B,ROW(C271)-3),ErrorCheckTable,4,FALSE)), "",(VLOOKUP(SMALL('Error Check Table-Hidden'!B:B,ROW(C271)-3),ErrorCheckTable,4,FALSE)))</f>
        <v/>
      </c>
    </row>
    <row r="272" spans="2:4" x14ac:dyDescent="0.2">
      <c r="B272" s="67" t="str">
        <f t="shared" si="4"/>
        <v/>
      </c>
      <c r="C272" s="67" t="str">
        <f>IF(ISERROR(VLOOKUP(SMALL('Error Check Table-Hidden'!B:B,ROW(C272)-3),ErrorCheckTable,3,FALSE)), "",(VLOOKUP(SMALL('Error Check Table-Hidden'!B:B,ROW(C272)-3),ErrorCheckTable,3,FALSE)))</f>
        <v/>
      </c>
      <c r="D272" s="59" t="str">
        <f>IF(ISERROR(VLOOKUP(SMALL('Error Check Table-Hidden'!B:B,ROW(C272)-3),ErrorCheckTable,4,FALSE)), "",(VLOOKUP(SMALL('Error Check Table-Hidden'!B:B,ROW(C272)-3),ErrorCheckTable,4,FALSE)))</f>
        <v/>
      </c>
    </row>
    <row r="273" spans="2:4" x14ac:dyDescent="0.2">
      <c r="B273" s="67" t="str">
        <f t="shared" si="4"/>
        <v/>
      </c>
      <c r="C273" s="67" t="str">
        <f>IF(ISERROR(VLOOKUP(SMALL('Error Check Table-Hidden'!B:B,ROW(C273)-3),ErrorCheckTable,3,FALSE)), "",(VLOOKUP(SMALL('Error Check Table-Hidden'!B:B,ROW(C273)-3),ErrorCheckTable,3,FALSE)))</f>
        <v/>
      </c>
      <c r="D273" s="59" t="str">
        <f>IF(ISERROR(VLOOKUP(SMALL('Error Check Table-Hidden'!B:B,ROW(C273)-3),ErrorCheckTable,4,FALSE)), "",(VLOOKUP(SMALL('Error Check Table-Hidden'!B:B,ROW(C273)-3),ErrorCheckTable,4,FALSE)))</f>
        <v/>
      </c>
    </row>
    <row r="274" spans="2:4" x14ac:dyDescent="0.2">
      <c r="B274" s="67" t="str">
        <f t="shared" si="4"/>
        <v/>
      </c>
      <c r="C274" s="67" t="str">
        <f>IF(ISERROR(VLOOKUP(SMALL('Error Check Table-Hidden'!B:B,ROW(C274)-3),ErrorCheckTable,3,FALSE)), "",(VLOOKUP(SMALL('Error Check Table-Hidden'!B:B,ROW(C274)-3),ErrorCheckTable,3,FALSE)))</f>
        <v/>
      </c>
      <c r="D274" s="59" t="str">
        <f>IF(ISERROR(VLOOKUP(SMALL('Error Check Table-Hidden'!B:B,ROW(C274)-3),ErrorCheckTable,4,FALSE)), "",(VLOOKUP(SMALL('Error Check Table-Hidden'!B:B,ROW(C274)-3),ErrorCheckTable,4,FALSE)))</f>
        <v/>
      </c>
    </row>
    <row r="275" spans="2:4" x14ac:dyDescent="0.2">
      <c r="B275" s="67" t="str">
        <f t="shared" si="4"/>
        <v/>
      </c>
      <c r="C275" s="67" t="str">
        <f>IF(ISERROR(VLOOKUP(SMALL('Error Check Table-Hidden'!B:B,ROW(C275)-3),ErrorCheckTable,3,FALSE)), "",(VLOOKUP(SMALL('Error Check Table-Hidden'!B:B,ROW(C275)-3),ErrorCheckTable,3,FALSE)))</f>
        <v/>
      </c>
      <c r="D275" s="59" t="str">
        <f>IF(ISERROR(VLOOKUP(SMALL('Error Check Table-Hidden'!B:B,ROW(C275)-3),ErrorCheckTable,4,FALSE)), "",(VLOOKUP(SMALL('Error Check Table-Hidden'!B:B,ROW(C275)-3),ErrorCheckTable,4,FALSE)))</f>
        <v/>
      </c>
    </row>
    <row r="276" spans="2:4" x14ac:dyDescent="0.2">
      <c r="B276" s="67" t="str">
        <f t="shared" si="4"/>
        <v/>
      </c>
      <c r="C276" s="67" t="str">
        <f>IF(ISERROR(VLOOKUP(SMALL('Error Check Table-Hidden'!B:B,ROW(C276)-3),ErrorCheckTable,3,FALSE)), "",(VLOOKUP(SMALL('Error Check Table-Hidden'!B:B,ROW(C276)-3),ErrorCheckTable,3,FALSE)))</f>
        <v/>
      </c>
      <c r="D276" s="59" t="str">
        <f>IF(ISERROR(VLOOKUP(SMALL('Error Check Table-Hidden'!B:B,ROW(C276)-3),ErrorCheckTable,4,FALSE)), "",(VLOOKUP(SMALL('Error Check Table-Hidden'!B:B,ROW(C276)-3),ErrorCheckTable,4,FALSE)))</f>
        <v/>
      </c>
    </row>
    <row r="277" spans="2:4" x14ac:dyDescent="0.2">
      <c r="B277" s="67" t="str">
        <f t="shared" si="4"/>
        <v/>
      </c>
      <c r="C277" s="67" t="str">
        <f>IF(ISERROR(VLOOKUP(SMALL('Error Check Table-Hidden'!B:B,ROW(C277)-3),ErrorCheckTable,3,FALSE)), "",(VLOOKUP(SMALL('Error Check Table-Hidden'!B:B,ROW(C277)-3),ErrorCheckTable,3,FALSE)))</f>
        <v/>
      </c>
      <c r="D277" s="59" t="str">
        <f>IF(ISERROR(VLOOKUP(SMALL('Error Check Table-Hidden'!B:B,ROW(C277)-3),ErrorCheckTable,4,FALSE)), "",(VLOOKUP(SMALL('Error Check Table-Hidden'!B:B,ROW(C277)-3),ErrorCheckTable,4,FALSE)))</f>
        <v/>
      </c>
    </row>
    <row r="278" spans="2:4" x14ac:dyDescent="0.2">
      <c r="B278" s="67" t="str">
        <f t="shared" si="4"/>
        <v/>
      </c>
      <c r="C278" s="67" t="str">
        <f>IF(ISERROR(VLOOKUP(SMALL('Error Check Table-Hidden'!B:B,ROW(C278)-3),ErrorCheckTable,3,FALSE)), "",(VLOOKUP(SMALL('Error Check Table-Hidden'!B:B,ROW(C278)-3),ErrorCheckTable,3,FALSE)))</f>
        <v/>
      </c>
      <c r="D278" s="59" t="str">
        <f>IF(ISERROR(VLOOKUP(SMALL('Error Check Table-Hidden'!B:B,ROW(C278)-3),ErrorCheckTable,4,FALSE)), "",(VLOOKUP(SMALL('Error Check Table-Hidden'!B:B,ROW(C278)-3),ErrorCheckTable,4,FALSE)))</f>
        <v/>
      </c>
    </row>
    <row r="279" spans="2:4" x14ac:dyDescent="0.2">
      <c r="B279" s="67" t="str">
        <f t="shared" si="4"/>
        <v/>
      </c>
      <c r="C279" s="67" t="str">
        <f>IF(ISERROR(VLOOKUP(SMALL('Error Check Table-Hidden'!B:B,ROW(C279)-3),ErrorCheckTable,3,FALSE)), "",(VLOOKUP(SMALL('Error Check Table-Hidden'!B:B,ROW(C279)-3),ErrorCheckTable,3,FALSE)))</f>
        <v/>
      </c>
      <c r="D279" s="59" t="str">
        <f>IF(ISERROR(VLOOKUP(SMALL('Error Check Table-Hidden'!B:B,ROW(C279)-3),ErrorCheckTable,4,FALSE)), "",(VLOOKUP(SMALL('Error Check Table-Hidden'!B:B,ROW(C279)-3),ErrorCheckTable,4,FALSE)))</f>
        <v/>
      </c>
    </row>
    <row r="280" spans="2:4" x14ac:dyDescent="0.2">
      <c r="B280" s="67" t="str">
        <f t="shared" si="4"/>
        <v/>
      </c>
      <c r="C280" s="67" t="str">
        <f>IF(ISERROR(VLOOKUP(SMALL('Error Check Table-Hidden'!B:B,ROW(C280)-3),ErrorCheckTable,3,FALSE)), "",(VLOOKUP(SMALL('Error Check Table-Hidden'!B:B,ROW(C280)-3),ErrorCheckTable,3,FALSE)))</f>
        <v/>
      </c>
      <c r="D280" s="59" t="str">
        <f>IF(ISERROR(VLOOKUP(SMALL('Error Check Table-Hidden'!B:B,ROW(C280)-3),ErrorCheckTable,4,FALSE)), "",(VLOOKUP(SMALL('Error Check Table-Hidden'!B:B,ROW(C280)-3),ErrorCheckTable,4,FALSE)))</f>
        <v/>
      </c>
    </row>
    <row r="281" spans="2:4" x14ac:dyDescent="0.2">
      <c r="B281" s="67" t="str">
        <f t="shared" si="4"/>
        <v/>
      </c>
      <c r="C281" s="67" t="str">
        <f>IF(ISERROR(VLOOKUP(SMALL('Error Check Table-Hidden'!B:B,ROW(C281)-3),ErrorCheckTable,3,FALSE)), "",(VLOOKUP(SMALL('Error Check Table-Hidden'!B:B,ROW(C281)-3),ErrorCheckTable,3,FALSE)))</f>
        <v/>
      </c>
      <c r="D281" s="59" t="str">
        <f>IF(ISERROR(VLOOKUP(SMALL('Error Check Table-Hidden'!B:B,ROW(C281)-3),ErrorCheckTable,4,FALSE)), "",(VLOOKUP(SMALL('Error Check Table-Hidden'!B:B,ROW(C281)-3),ErrorCheckTable,4,FALSE)))</f>
        <v/>
      </c>
    </row>
    <row r="282" spans="2:4" x14ac:dyDescent="0.2">
      <c r="B282" s="67" t="str">
        <f t="shared" si="4"/>
        <v/>
      </c>
      <c r="C282" s="67" t="str">
        <f>IF(ISERROR(VLOOKUP(SMALL('Error Check Table-Hidden'!B:B,ROW(C282)-3),ErrorCheckTable,3,FALSE)), "",(VLOOKUP(SMALL('Error Check Table-Hidden'!B:B,ROW(C282)-3),ErrorCheckTable,3,FALSE)))</f>
        <v/>
      </c>
      <c r="D282" s="59" t="str">
        <f>IF(ISERROR(VLOOKUP(SMALL('Error Check Table-Hidden'!B:B,ROW(C282)-3),ErrorCheckTable,4,FALSE)), "",(VLOOKUP(SMALL('Error Check Table-Hidden'!B:B,ROW(C282)-3),ErrorCheckTable,4,FALSE)))</f>
        <v/>
      </c>
    </row>
    <row r="283" spans="2:4" x14ac:dyDescent="0.2">
      <c r="B283" s="67" t="str">
        <f t="shared" si="4"/>
        <v/>
      </c>
      <c r="C283" s="67" t="str">
        <f>IF(ISERROR(VLOOKUP(SMALL('Error Check Table-Hidden'!B:B,ROW(C283)-3),ErrorCheckTable,3,FALSE)), "",(VLOOKUP(SMALL('Error Check Table-Hidden'!B:B,ROW(C283)-3),ErrorCheckTable,3,FALSE)))</f>
        <v/>
      </c>
      <c r="D283" s="59" t="str">
        <f>IF(ISERROR(VLOOKUP(SMALL('Error Check Table-Hidden'!B:B,ROW(C283)-3),ErrorCheckTable,4,FALSE)), "",(VLOOKUP(SMALL('Error Check Table-Hidden'!B:B,ROW(C283)-3),ErrorCheckTable,4,FALSE)))</f>
        <v/>
      </c>
    </row>
    <row r="284" spans="2:4" x14ac:dyDescent="0.2">
      <c r="B284" s="67" t="str">
        <f t="shared" si="4"/>
        <v/>
      </c>
      <c r="C284" s="67" t="str">
        <f>IF(ISERROR(VLOOKUP(SMALL('Error Check Table-Hidden'!B:B,ROW(C284)-3),ErrorCheckTable,3,FALSE)), "",(VLOOKUP(SMALL('Error Check Table-Hidden'!B:B,ROW(C284)-3),ErrorCheckTable,3,FALSE)))</f>
        <v/>
      </c>
      <c r="D284" s="59" t="str">
        <f>IF(ISERROR(VLOOKUP(SMALL('Error Check Table-Hidden'!B:B,ROW(C284)-3),ErrorCheckTable,4,FALSE)), "",(VLOOKUP(SMALL('Error Check Table-Hidden'!B:B,ROW(C284)-3),ErrorCheckTable,4,FALSE)))</f>
        <v/>
      </c>
    </row>
    <row r="285" spans="2:4" x14ac:dyDescent="0.2">
      <c r="B285" s="67" t="str">
        <f t="shared" si="4"/>
        <v/>
      </c>
      <c r="C285" s="67" t="str">
        <f>IF(ISERROR(VLOOKUP(SMALL('Error Check Table-Hidden'!B:B,ROW(C285)-3),ErrorCheckTable,3,FALSE)), "",(VLOOKUP(SMALL('Error Check Table-Hidden'!B:B,ROW(C285)-3),ErrorCheckTable,3,FALSE)))</f>
        <v/>
      </c>
      <c r="D285" s="59" t="str">
        <f>IF(ISERROR(VLOOKUP(SMALL('Error Check Table-Hidden'!B:B,ROW(C285)-3),ErrorCheckTable,4,FALSE)), "",(VLOOKUP(SMALL('Error Check Table-Hidden'!B:B,ROW(C285)-3),ErrorCheckTable,4,FALSE)))</f>
        <v/>
      </c>
    </row>
    <row r="286" spans="2:4" x14ac:dyDescent="0.2">
      <c r="B286" s="67" t="str">
        <f t="shared" si="4"/>
        <v/>
      </c>
      <c r="C286" s="67" t="str">
        <f>IF(ISERROR(VLOOKUP(SMALL('Error Check Table-Hidden'!B:B,ROW(C286)-3),ErrorCheckTable,3,FALSE)), "",(VLOOKUP(SMALL('Error Check Table-Hidden'!B:B,ROW(C286)-3),ErrorCheckTable,3,FALSE)))</f>
        <v/>
      </c>
      <c r="D286" s="59" t="str">
        <f>IF(ISERROR(VLOOKUP(SMALL('Error Check Table-Hidden'!B:B,ROW(C286)-3),ErrorCheckTable,4,FALSE)), "",(VLOOKUP(SMALL('Error Check Table-Hidden'!B:B,ROW(C286)-3),ErrorCheckTable,4,FALSE)))</f>
        <v/>
      </c>
    </row>
    <row r="287" spans="2:4" x14ac:dyDescent="0.2">
      <c r="B287" s="67" t="str">
        <f t="shared" si="4"/>
        <v/>
      </c>
      <c r="C287" s="67" t="str">
        <f>IF(ISERROR(VLOOKUP(SMALL('Error Check Table-Hidden'!B:B,ROW(C287)-3),ErrorCheckTable,3,FALSE)), "",(VLOOKUP(SMALL('Error Check Table-Hidden'!B:B,ROW(C287)-3),ErrorCheckTable,3,FALSE)))</f>
        <v/>
      </c>
      <c r="D287" s="59" t="str">
        <f>IF(ISERROR(VLOOKUP(SMALL('Error Check Table-Hidden'!B:B,ROW(C287)-3),ErrorCheckTable,4,FALSE)), "",(VLOOKUP(SMALL('Error Check Table-Hidden'!B:B,ROW(C287)-3),ErrorCheckTable,4,FALSE)))</f>
        <v/>
      </c>
    </row>
    <row r="288" spans="2:4" x14ac:dyDescent="0.2">
      <c r="B288" s="67" t="str">
        <f t="shared" si="4"/>
        <v/>
      </c>
      <c r="C288" s="67" t="str">
        <f>IF(ISERROR(VLOOKUP(SMALL('Error Check Table-Hidden'!B:B,ROW(C288)-3),ErrorCheckTable,3,FALSE)), "",(VLOOKUP(SMALL('Error Check Table-Hidden'!B:B,ROW(C288)-3),ErrorCheckTable,3,FALSE)))</f>
        <v/>
      </c>
      <c r="D288" s="59" t="str">
        <f>IF(ISERROR(VLOOKUP(SMALL('Error Check Table-Hidden'!B:B,ROW(C288)-3),ErrorCheckTable,4,FALSE)), "",(VLOOKUP(SMALL('Error Check Table-Hidden'!B:B,ROW(C288)-3),ErrorCheckTable,4,FALSE)))</f>
        <v/>
      </c>
    </row>
    <row r="289" spans="2:4" x14ac:dyDescent="0.2">
      <c r="B289" s="67" t="str">
        <f t="shared" si="4"/>
        <v/>
      </c>
      <c r="C289" s="67" t="str">
        <f>IF(ISERROR(VLOOKUP(SMALL('Error Check Table-Hidden'!B:B,ROW(C289)-3),ErrorCheckTable,3,FALSE)), "",(VLOOKUP(SMALL('Error Check Table-Hidden'!B:B,ROW(C289)-3),ErrorCheckTable,3,FALSE)))</f>
        <v/>
      </c>
      <c r="D289" s="59" t="str">
        <f>IF(ISERROR(VLOOKUP(SMALL('Error Check Table-Hidden'!B:B,ROW(C289)-3),ErrorCheckTable,4,FALSE)), "",(VLOOKUP(SMALL('Error Check Table-Hidden'!B:B,ROW(C289)-3),ErrorCheckTable,4,FALSE)))</f>
        <v/>
      </c>
    </row>
    <row r="290" spans="2:4" x14ac:dyDescent="0.2">
      <c r="B290" s="67" t="str">
        <f t="shared" si="4"/>
        <v/>
      </c>
      <c r="C290" s="67" t="str">
        <f>IF(ISERROR(VLOOKUP(SMALL('Error Check Table-Hidden'!B:B,ROW(C290)-3),ErrorCheckTable,3,FALSE)), "",(VLOOKUP(SMALL('Error Check Table-Hidden'!B:B,ROW(C290)-3),ErrorCheckTable,3,FALSE)))</f>
        <v/>
      </c>
      <c r="D290" s="59" t="str">
        <f>IF(ISERROR(VLOOKUP(SMALL('Error Check Table-Hidden'!B:B,ROW(C290)-3),ErrorCheckTable,4,FALSE)), "",(VLOOKUP(SMALL('Error Check Table-Hidden'!B:B,ROW(C290)-3),ErrorCheckTable,4,FALSE)))</f>
        <v/>
      </c>
    </row>
    <row r="291" spans="2:4" x14ac:dyDescent="0.2">
      <c r="B291" s="67" t="str">
        <f t="shared" si="4"/>
        <v/>
      </c>
      <c r="C291" s="67" t="str">
        <f>IF(ISERROR(VLOOKUP(SMALL('Error Check Table-Hidden'!B:B,ROW(C291)-3),ErrorCheckTable,3,FALSE)), "",(VLOOKUP(SMALL('Error Check Table-Hidden'!B:B,ROW(C291)-3),ErrorCheckTable,3,FALSE)))</f>
        <v/>
      </c>
      <c r="D291" s="59" t="str">
        <f>IF(ISERROR(VLOOKUP(SMALL('Error Check Table-Hidden'!B:B,ROW(C291)-3),ErrorCheckTable,4,FALSE)), "",(VLOOKUP(SMALL('Error Check Table-Hidden'!B:B,ROW(C291)-3),ErrorCheckTable,4,FALSE)))</f>
        <v/>
      </c>
    </row>
    <row r="292" spans="2:4" x14ac:dyDescent="0.2">
      <c r="B292" s="67" t="str">
        <f t="shared" si="4"/>
        <v/>
      </c>
      <c r="C292" s="67" t="str">
        <f>IF(ISERROR(VLOOKUP(SMALL('Error Check Table-Hidden'!B:B,ROW(C292)-3),ErrorCheckTable,3,FALSE)), "",(VLOOKUP(SMALL('Error Check Table-Hidden'!B:B,ROW(C292)-3),ErrorCheckTable,3,FALSE)))</f>
        <v/>
      </c>
      <c r="D292" s="59" t="str">
        <f>IF(ISERROR(VLOOKUP(SMALL('Error Check Table-Hidden'!B:B,ROW(C292)-3),ErrorCheckTable,4,FALSE)), "",(VLOOKUP(SMALL('Error Check Table-Hidden'!B:B,ROW(C292)-3),ErrorCheckTable,4,FALSE)))</f>
        <v/>
      </c>
    </row>
    <row r="293" spans="2:4" x14ac:dyDescent="0.2">
      <c r="B293" s="67" t="str">
        <f t="shared" si="4"/>
        <v/>
      </c>
      <c r="C293" s="67" t="str">
        <f>IF(ISERROR(VLOOKUP(SMALL('Error Check Table-Hidden'!B:B,ROW(C293)-3),ErrorCheckTable,3,FALSE)), "",(VLOOKUP(SMALL('Error Check Table-Hidden'!B:B,ROW(C293)-3),ErrorCheckTable,3,FALSE)))</f>
        <v/>
      </c>
      <c r="D293" s="59" t="str">
        <f>IF(ISERROR(VLOOKUP(SMALL('Error Check Table-Hidden'!B:B,ROW(C293)-3),ErrorCheckTable,4,FALSE)), "",(VLOOKUP(SMALL('Error Check Table-Hidden'!B:B,ROW(C293)-3),ErrorCheckTable,4,FALSE)))</f>
        <v/>
      </c>
    </row>
    <row r="294" spans="2:4" x14ac:dyDescent="0.2">
      <c r="B294" s="67" t="str">
        <f t="shared" si="4"/>
        <v/>
      </c>
      <c r="C294" s="67" t="str">
        <f>IF(ISERROR(VLOOKUP(SMALL('Error Check Table-Hidden'!B:B,ROW(C294)-3),ErrorCheckTable,3,FALSE)), "",(VLOOKUP(SMALL('Error Check Table-Hidden'!B:B,ROW(C294)-3),ErrorCheckTable,3,FALSE)))</f>
        <v/>
      </c>
      <c r="D294" s="59" t="str">
        <f>IF(ISERROR(VLOOKUP(SMALL('Error Check Table-Hidden'!B:B,ROW(C294)-3),ErrorCheckTable,4,FALSE)), "",(VLOOKUP(SMALL('Error Check Table-Hidden'!B:B,ROW(C294)-3),ErrorCheckTable,4,FALSE)))</f>
        <v/>
      </c>
    </row>
    <row r="295" spans="2:4" x14ac:dyDescent="0.2">
      <c r="B295" s="67" t="str">
        <f t="shared" si="4"/>
        <v/>
      </c>
      <c r="C295" s="67" t="str">
        <f>IF(ISERROR(VLOOKUP(SMALL('Error Check Table-Hidden'!B:B,ROW(C295)-3),ErrorCheckTable,3,FALSE)), "",(VLOOKUP(SMALL('Error Check Table-Hidden'!B:B,ROW(C295)-3),ErrorCheckTable,3,FALSE)))</f>
        <v/>
      </c>
      <c r="D295" s="59" t="str">
        <f>IF(ISERROR(VLOOKUP(SMALL('Error Check Table-Hidden'!B:B,ROW(C295)-3),ErrorCheckTable,4,FALSE)), "",(VLOOKUP(SMALL('Error Check Table-Hidden'!B:B,ROW(C295)-3),ErrorCheckTable,4,FALSE)))</f>
        <v/>
      </c>
    </row>
    <row r="296" spans="2:4" x14ac:dyDescent="0.2">
      <c r="B296" s="67" t="str">
        <f t="shared" si="4"/>
        <v/>
      </c>
      <c r="C296" s="67" t="str">
        <f>IF(ISERROR(VLOOKUP(SMALL('Error Check Table-Hidden'!B:B,ROW(C296)-3),ErrorCheckTable,3,FALSE)), "",(VLOOKUP(SMALL('Error Check Table-Hidden'!B:B,ROW(C296)-3),ErrorCheckTable,3,FALSE)))</f>
        <v/>
      </c>
      <c r="D296" s="59" t="str">
        <f>IF(ISERROR(VLOOKUP(SMALL('Error Check Table-Hidden'!B:B,ROW(C296)-3),ErrorCheckTable,4,FALSE)), "",(VLOOKUP(SMALL('Error Check Table-Hidden'!B:B,ROW(C296)-3),ErrorCheckTable,4,FALSE)))</f>
        <v/>
      </c>
    </row>
    <row r="297" spans="2:4" x14ac:dyDescent="0.2">
      <c r="B297" s="67" t="str">
        <f t="shared" si="4"/>
        <v/>
      </c>
      <c r="C297" s="67" t="str">
        <f>IF(ISERROR(VLOOKUP(SMALL('Error Check Table-Hidden'!B:B,ROW(C297)-3),ErrorCheckTable,3,FALSE)), "",(VLOOKUP(SMALL('Error Check Table-Hidden'!B:B,ROW(C297)-3),ErrorCheckTable,3,FALSE)))</f>
        <v/>
      </c>
      <c r="D297" s="59" t="str">
        <f>IF(ISERROR(VLOOKUP(SMALL('Error Check Table-Hidden'!B:B,ROW(C297)-3),ErrorCheckTable,4,FALSE)), "",(VLOOKUP(SMALL('Error Check Table-Hidden'!B:B,ROW(C297)-3),ErrorCheckTable,4,FALSE)))</f>
        <v/>
      </c>
    </row>
    <row r="298" spans="2:4" x14ac:dyDescent="0.2">
      <c r="B298" s="67" t="str">
        <f t="shared" si="4"/>
        <v/>
      </c>
      <c r="C298" s="67" t="str">
        <f>IF(ISERROR(VLOOKUP(SMALL('Error Check Table-Hidden'!B:B,ROW(C298)-3),ErrorCheckTable,3,FALSE)), "",(VLOOKUP(SMALL('Error Check Table-Hidden'!B:B,ROW(C298)-3),ErrorCheckTable,3,FALSE)))</f>
        <v/>
      </c>
      <c r="D298" s="59" t="str">
        <f>IF(ISERROR(VLOOKUP(SMALL('Error Check Table-Hidden'!B:B,ROW(C298)-3),ErrorCheckTable,4,FALSE)), "",(VLOOKUP(SMALL('Error Check Table-Hidden'!B:B,ROW(C298)-3),ErrorCheckTable,4,FALSE)))</f>
        <v/>
      </c>
    </row>
    <row r="299" spans="2:4" x14ac:dyDescent="0.2">
      <c r="B299" s="67" t="str">
        <f t="shared" si="4"/>
        <v/>
      </c>
      <c r="C299" s="67" t="str">
        <f>IF(ISERROR(VLOOKUP(SMALL('Error Check Table-Hidden'!B:B,ROW(C299)-3),ErrorCheckTable,3,FALSE)), "",(VLOOKUP(SMALL('Error Check Table-Hidden'!B:B,ROW(C299)-3),ErrorCheckTable,3,FALSE)))</f>
        <v/>
      </c>
      <c r="D299" s="59" t="str">
        <f>IF(ISERROR(VLOOKUP(SMALL('Error Check Table-Hidden'!B:B,ROW(C299)-3),ErrorCheckTable,4,FALSE)), "",(VLOOKUP(SMALL('Error Check Table-Hidden'!B:B,ROW(C299)-3),ErrorCheckTable,4,FALSE)))</f>
        <v/>
      </c>
    </row>
    <row r="300" spans="2:4" x14ac:dyDescent="0.2">
      <c r="B300" s="67" t="str">
        <f t="shared" si="4"/>
        <v/>
      </c>
      <c r="C300" s="67" t="str">
        <f>IF(ISERROR(VLOOKUP(SMALL('Error Check Table-Hidden'!B:B,ROW(C300)-3),ErrorCheckTable,3,FALSE)), "",(VLOOKUP(SMALL('Error Check Table-Hidden'!B:B,ROW(C300)-3),ErrorCheckTable,3,FALSE)))</f>
        <v/>
      </c>
      <c r="D300" s="59" t="str">
        <f>IF(ISERROR(VLOOKUP(SMALL('Error Check Table-Hidden'!B:B,ROW(C300)-3),ErrorCheckTable,4,FALSE)), "",(VLOOKUP(SMALL('Error Check Table-Hidden'!B:B,ROW(C300)-3),ErrorCheckTable,4,FALSE)))</f>
        <v/>
      </c>
    </row>
    <row r="301" spans="2:4" x14ac:dyDescent="0.2">
      <c r="B301" s="67" t="str">
        <f t="shared" si="4"/>
        <v/>
      </c>
      <c r="C301" s="67" t="str">
        <f>IF(ISERROR(VLOOKUP(SMALL('Error Check Table-Hidden'!B:B,ROW(C301)-3),ErrorCheckTable,3,FALSE)), "",(VLOOKUP(SMALL('Error Check Table-Hidden'!B:B,ROW(C301)-3),ErrorCheckTable,3,FALSE)))</f>
        <v/>
      </c>
      <c r="D301" s="59" t="str">
        <f>IF(ISERROR(VLOOKUP(SMALL('Error Check Table-Hidden'!B:B,ROW(C301)-3),ErrorCheckTable,4,FALSE)), "",(VLOOKUP(SMALL('Error Check Table-Hidden'!B:B,ROW(C301)-3),ErrorCheckTable,4,FALSE)))</f>
        <v/>
      </c>
    </row>
    <row r="302" spans="2:4" x14ac:dyDescent="0.2">
      <c r="B302" s="67" t="str">
        <f t="shared" ref="B302:B365" si="5">IF(C302&lt;&gt;"",B301+1,"")</f>
        <v/>
      </c>
      <c r="C302" s="67" t="str">
        <f>IF(ISERROR(VLOOKUP(SMALL('Error Check Table-Hidden'!B:B,ROW(C302)-3),ErrorCheckTable,3,FALSE)), "",(VLOOKUP(SMALL('Error Check Table-Hidden'!B:B,ROW(C302)-3),ErrorCheckTable,3,FALSE)))</f>
        <v/>
      </c>
      <c r="D302" s="59" t="str">
        <f>IF(ISERROR(VLOOKUP(SMALL('Error Check Table-Hidden'!B:B,ROW(C302)-3),ErrorCheckTable,4,FALSE)), "",(VLOOKUP(SMALL('Error Check Table-Hidden'!B:B,ROW(C302)-3),ErrorCheckTable,4,FALSE)))</f>
        <v/>
      </c>
    </row>
    <row r="303" spans="2:4" x14ac:dyDescent="0.2">
      <c r="B303" s="67" t="str">
        <f t="shared" si="5"/>
        <v/>
      </c>
      <c r="C303" s="67" t="str">
        <f>IF(ISERROR(VLOOKUP(SMALL('Error Check Table-Hidden'!B:B,ROW(C303)-3),ErrorCheckTable,3,FALSE)), "",(VLOOKUP(SMALL('Error Check Table-Hidden'!B:B,ROW(C303)-3),ErrorCheckTable,3,FALSE)))</f>
        <v/>
      </c>
      <c r="D303" s="59" t="str">
        <f>IF(ISERROR(VLOOKUP(SMALL('Error Check Table-Hidden'!B:B,ROW(C303)-3),ErrorCheckTable,4,FALSE)), "",(VLOOKUP(SMALL('Error Check Table-Hidden'!B:B,ROW(C303)-3),ErrorCheckTable,4,FALSE)))</f>
        <v/>
      </c>
    </row>
    <row r="304" spans="2:4" x14ac:dyDescent="0.2">
      <c r="B304" s="67" t="str">
        <f t="shared" si="5"/>
        <v/>
      </c>
      <c r="C304" s="67" t="str">
        <f>IF(ISERROR(VLOOKUP(SMALL('Error Check Table-Hidden'!B:B,ROW(C304)-3),ErrorCheckTable,3,FALSE)), "",(VLOOKUP(SMALL('Error Check Table-Hidden'!B:B,ROW(C304)-3),ErrorCheckTable,3,FALSE)))</f>
        <v/>
      </c>
      <c r="D304" s="59" t="str">
        <f>IF(ISERROR(VLOOKUP(SMALL('Error Check Table-Hidden'!B:B,ROW(C304)-3),ErrorCheckTable,4,FALSE)), "",(VLOOKUP(SMALL('Error Check Table-Hidden'!B:B,ROW(C304)-3),ErrorCheckTable,4,FALSE)))</f>
        <v/>
      </c>
    </row>
    <row r="305" spans="2:4" x14ac:dyDescent="0.2">
      <c r="B305" s="67" t="str">
        <f t="shared" si="5"/>
        <v/>
      </c>
      <c r="C305" s="67" t="str">
        <f>IF(ISERROR(VLOOKUP(SMALL('Error Check Table-Hidden'!B:B,ROW(C305)-3),ErrorCheckTable,3,FALSE)), "",(VLOOKUP(SMALL('Error Check Table-Hidden'!B:B,ROW(C305)-3),ErrorCheckTable,3,FALSE)))</f>
        <v/>
      </c>
      <c r="D305" s="59" t="str">
        <f>IF(ISERROR(VLOOKUP(SMALL('Error Check Table-Hidden'!B:B,ROW(C305)-3),ErrorCheckTable,4,FALSE)), "",(VLOOKUP(SMALL('Error Check Table-Hidden'!B:B,ROW(C305)-3),ErrorCheckTable,4,FALSE)))</f>
        <v/>
      </c>
    </row>
    <row r="306" spans="2:4" x14ac:dyDescent="0.2">
      <c r="B306" s="67" t="str">
        <f t="shared" si="5"/>
        <v/>
      </c>
      <c r="C306" s="67" t="str">
        <f>IF(ISERROR(VLOOKUP(SMALL('Error Check Table-Hidden'!B:B,ROW(C306)-3),ErrorCheckTable,3,FALSE)), "",(VLOOKUP(SMALL('Error Check Table-Hidden'!B:B,ROW(C306)-3),ErrorCheckTable,3,FALSE)))</f>
        <v/>
      </c>
      <c r="D306" s="59" t="str">
        <f>IF(ISERROR(VLOOKUP(SMALL('Error Check Table-Hidden'!B:B,ROW(C306)-3),ErrorCheckTable,4,FALSE)), "",(VLOOKUP(SMALL('Error Check Table-Hidden'!B:B,ROW(C306)-3),ErrorCheckTable,4,FALSE)))</f>
        <v/>
      </c>
    </row>
    <row r="307" spans="2:4" x14ac:dyDescent="0.2">
      <c r="B307" s="67" t="str">
        <f t="shared" si="5"/>
        <v/>
      </c>
      <c r="C307" s="67" t="str">
        <f>IF(ISERROR(VLOOKUP(SMALL('Error Check Table-Hidden'!B:B,ROW(C307)-3),ErrorCheckTable,3,FALSE)), "",(VLOOKUP(SMALL('Error Check Table-Hidden'!B:B,ROW(C307)-3),ErrorCheckTable,3,FALSE)))</f>
        <v/>
      </c>
      <c r="D307" s="59" t="str">
        <f>IF(ISERROR(VLOOKUP(SMALL('Error Check Table-Hidden'!B:B,ROW(C307)-3),ErrorCheckTable,4,FALSE)), "",(VLOOKUP(SMALL('Error Check Table-Hidden'!B:B,ROW(C307)-3),ErrorCheckTable,4,FALSE)))</f>
        <v/>
      </c>
    </row>
    <row r="308" spans="2:4" x14ac:dyDescent="0.2">
      <c r="B308" s="67" t="str">
        <f t="shared" si="5"/>
        <v/>
      </c>
      <c r="C308" s="67" t="str">
        <f>IF(ISERROR(VLOOKUP(SMALL('Error Check Table-Hidden'!B:B,ROW(C308)-3),ErrorCheckTable,3,FALSE)), "",(VLOOKUP(SMALL('Error Check Table-Hidden'!B:B,ROW(C308)-3),ErrorCheckTable,3,FALSE)))</f>
        <v/>
      </c>
      <c r="D308" s="59" t="str">
        <f>IF(ISERROR(VLOOKUP(SMALL('Error Check Table-Hidden'!B:B,ROW(C308)-3),ErrorCheckTable,4,FALSE)), "",(VLOOKUP(SMALL('Error Check Table-Hidden'!B:B,ROW(C308)-3),ErrorCheckTable,4,FALSE)))</f>
        <v/>
      </c>
    </row>
    <row r="309" spans="2:4" x14ac:dyDescent="0.2">
      <c r="B309" s="67" t="str">
        <f t="shared" si="5"/>
        <v/>
      </c>
      <c r="C309" s="67" t="str">
        <f>IF(ISERROR(VLOOKUP(SMALL('Error Check Table-Hidden'!B:B,ROW(C309)-3),ErrorCheckTable,3,FALSE)), "",(VLOOKUP(SMALL('Error Check Table-Hidden'!B:B,ROW(C309)-3),ErrorCheckTable,3,FALSE)))</f>
        <v/>
      </c>
      <c r="D309" s="59" t="str">
        <f>IF(ISERROR(VLOOKUP(SMALL('Error Check Table-Hidden'!B:B,ROW(C309)-3),ErrorCheckTable,4,FALSE)), "",(VLOOKUP(SMALL('Error Check Table-Hidden'!B:B,ROW(C309)-3),ErrorCheckTable,4,FALSE)))</f>
        <v/>
      </c>
    </row>
    <row r="310" spans="2:4" x14ac:dyDescent="0.2">
      <c r="B310" s="67" t="str">
        <f t="shared" si="5"/>
        <v/>
      </c>
      <c r="C310" s="67" t="str">
        <f>IF(ISERROR(VLOOKUP(SMALL('Error Check Table-Hidden'!B:B,ROW(C310)-3),ErrorCheckTable,3,FALSE)), "",(VLOOKUP(SMALL('Error Check Table-Hidden'!B:B,ROW(C310)-3),ErrorCheckTable,3,FALSE)))</f>
        <v/>
      </c>
      <c r="D310" s="59" t="str">
        <f>IF(ISERROR(VLOOKUP(SMALL('Error Check Table-Hidden'!B:B,ROW(C310)-3),ErrorCheckTable,4,FALSE)), "",(VLOOKUP(SMALL('Error Check Table-Hidden'!B:B,ROW(C310)-3),ErrorCheckTable,4,FALSE)))</f>
        <v/>
      </c>
    </row>
    <row r="311" spans="2:4" x14ac:dyDescent="0.2">
      <c r="B311" s="67" t="str">
        <f t="shared" si="5"/>
        <v/>
      </c>
      <c r="C311" s="67" t="str">
        <f>IF(ISERROR(VLOOKUP(SMALL('Error Check Table-Hidden'!B:B,ROW(C311)-3),ErrorCheckTable,3,FALSE)), "",(VLOOKUP(SMALL('Error Check Table-Hidden'!B:B,ROW(C311)-3),ErrorCheckTable,3,FALSE)))</f>
        <v/>
      </c>
      <c r="D311" s="59" t="str">
        <f>IF(ISERROR(VLOOKUP(SMALL('Error Check Table-Hidden'!B:B,ROW(C311)-3),ErrorCheckTable,4,FALSE)), "",(VLOOKUP(SMALL('Error Check Table-Hidden'!B:B,ROW(C311)-3),ErrorCheckTable,4,FALSE)))</f>
        <v/>
      </c>
    </row>
    <row r="312" spans="2:4" x14ac:dyDescent="0.2">
      <c r="B312" s="67" t="str">
        <f t="shared" si="5"/>
        <v/>
      </c>
      <c r="C312" s="67" t="str">
        <f>IF(ISERROR(VLOOKUP(SMALL('Error Check Table-Hidden'!B:B,ROW(C312)-3),ErrorCheckTable,3,FALSE)), "",(VLOOKUP(SMALL('Error Check Table-Hidden'!B:B,ROW(C312)-3),ErrorCheckTable,3,FALSE)))</f>
        <v/>
      </c>
      <c r="D312" s="59" t="str">
        <f>IF(ISERROR(VLOOKUP(SMALL('Error Check Table-Hidden'!B:B,ROW(C312)-3),ErrorCheckTable,4,FALSE)), "",(VLOOKUP(SMALL('Error Check Table-Hidden'!B:B,ROW(C312)-3),ErrorCheckTable,4,FALSE)))</f>
        <v/>
      </c>
    </row>
    <row r="313" spans="2:4" x14ac:dyDescent="0.2">
      <c r="B313" s="67" t="str">
        <f t="shared" si="5"/>
        <v/>
      </c>
      <c r="C313" s="67" t="str">
        <f>IF(ISERROR(VLOOKUP(SMALL('Error Check Table-Hidden'!B:B,ROW(C313)-3),ErrorCheckTable,3,FALSE)), "",(VLOOKUP(SMALL('Error Check Table-Hidden'!B:B,ROW(C313)-3),ErrorCheckTable,3,FALSE)))</f>
        <v/>
      </c>
      <c r="D313" s="59" t="str">
        <f>IF(ISERROR(VLOOKUP(SMALL('Error Check Table-Hidden'!B:B,ROW(C313)-3),ErrorCheckTable,4,FALSE)), "",(VLOOKUP(SMALL('Error Check Table-Hidden'!B:B,ROW(C313)-3),ErrorCheckTable,4,FALSE)))</f>
        <v/>
      </c>
    </row>
    <row r="314" spans="2:4" x14ac:dyDescent="0.2">
      <c r="B314" s="67" t="str">
        <f t="shared" si="5"/>
        <v/>
      </c>
      <c r="C314" s="67" t="str">
        <f>IF(ISERROR(VLOOKUP(SMALL('Error Check Table-Hidden'!B:B,ROW(C314)-3),ErrorCheckTable,3,FALSE)), "",(VLOOKUP(SMALL('Error Check Table-Hidden'!B:B,ROW(C314)-3),ErrorCheckTable,3,FALSE)))</f>
        <v/>
      </c>
      <c r="D314" s="59" t="str">
        <f>IF(ISERROR(VLOOKUP(SMALL('Error Check Table-Hidden'!B:B,ROW(C314)-3),ErrorCheckTable,4,FALSE)), "",(VLOOKUP(SMALL('Error Check Table-Hidden'!B:B,ROW(C314)-3),ErrorCheckTable,4,FALSE)))</f>
        <v/>
      </c>
    </row>
    <row r="315" spans="2:4" x14ac:dyDescent="0.2">
      <c r="B315" s="67" t="str">
        <f t="shared" si="5"/>
        <v/>
      </c>
      <c r="C315" s="67" t="str">
        <f>IF(ISERROR(VLOOKUP(SMALL('Error Check Table-Hidden'!B:B,ROW(C315)-3),ErrorCheckTable,3,FALSE)), "",(VLOOKUP(SMALL('Error Check Table-Hidden'!B:B,ROW(C315)-3),ErrorCheckTable,3,FALSE)))</f>
        <v/>
      </c>
      <c r="D315" s="59" t="str">
        <f>IF(ISERROR(VLOOKUP(SMALL('Error Check Table-Hidden'!B:B,ROW(C315)-3),ErrorCheckTable,4,FALSE)), "",(VLOOKUP(SMALL('Error Check Table-Hidden'!B:B,ROW(C315)-3),ErrorCheckTable,4,FALSE)))</f>
        <v/>
      </c>
    </row>
    <row r="316" spans="2:4" x14ac:dyDescent="0.2">
      <c r="B316" s="67" t="str">
        <f t="shared" si="5"/>
        <v/>
      </c>
      <c r="C316" s="67" t="str">
        <f>IF(ISERROR(VLOOKUP(SMALL('Error Check Table-Hidden'!B:B,ROW(C316)-3),ErrorCheckTable,3,FALSE)), "",(VLOOKUP(SMALL('Error Check Table-Hidden'!B:B,ROW(C316)-3),ErrorCheckTable,3,FALSE)))</f>
        <v/>
      </c>
      <c r="D316" s="59" t="str">
        <f>IF(ISERROR(VLOOKUP(SMALL('Error Check Table-Hidden'!B:B,ROW(C316)-3),ErrorCheckTable,4,FALSE)), "",(VLOOKUP(SMALL('Error Check Table-Hidden'!B:B,ROW(C316)-3),ErrorCheckTable,4,FALSE)))</f>
        <v/>
      </c>
    </row>
    <row r="317" spans="2:4" x14ac:dyDescent="0.2">
      <c r="B317" s="67" t="str">
        <f t="shared" si="5"/>
        <v/>
      </c>
      <c r="C317" s="67" t="str">
        <f>IF(ISERROR(VLOOKUP(SMALL('Error Check Table-Hidden'!B:B,ROW(C317)-3),ErrorCheckTable,3,FALSE)), "",(VLOOKUP(SMALL('Error Check Table-Hidden'!B:B,ROW(C317)-3),ErrorCheckTable,3,FALSE)))</f>
        <v/>
      </c>
      <c r="D317" s="59" t="str">
        <f>IF(ISERROR(VLOOKUP(SMALL('Error Check Table-Hidden'!B:B,ROW(C317)-3),ErrorCheckTable,4,FALSE)), "",(VLOOKUP(SMALL('Error Check Table-Hidden'!B:B,ROW(C317)-3),ErrorCheckTable,4,FALSE)))</f>
        <v/>
      </c>
    </row>
    <row r="318" spans="2:4" x14ac:dyDescent="0.2">
      <c r="B318" s="67" t="str">
        <f t="shared" si="5"/>
        <v/>
      </c>
      <c r="C318" s="67" t="str">
        <f>IF(ISERROR(VLOOKUP(SMALL('Error Check Table-Hidden'!B:B,ROW(C318)-3),ErrorCheckTable,3,FALSE)), "",(VLOOKUP(SMALL('Error Check Table-Hidden'!B:B,ROW(C318)-3),ErrorCheckTable,3,FALSE)))</f>
        <v/>
      </c>
      <c r="D318" s="59" t="str">
        <f>IF(ISERROR(VLOOKUP(SMALL('Error Check Table-Hidden'!B:B,ROW(C318)-3),ErrorCheckTable,4,FALSE)), "",(VLOOKUP(SMALL('Error Check Table-Hidden'!B:B,ROW(C318)-3),ErrorCheckTable,4,FALSE)))</f>
        <v/>
      </c>
    </row>
    <row r="319" spans="2:4" x14ac:dyDescent="0.2">
      <c r="B319" s="67" t="str">
        <f t="shared" si="5"/>
        <v/>
      </c>
      <c r="C319" s="67" t="str">
        <f>IF(ISERROR(VLOOKUP(SMALL('Error Check Table-Hidden'!B:B,ROW(C319)-3),ErrorCheckTable,3,FALSE)), "",(VLOOKUP(SMALL('Error Check Table-Hidden'!B:B,ROW(C319)-3),ErrorCheckTable,3,FALSE)))</f>
        <v/>
      </c>
      <c r="D319" s="59" t="str">
        <f>IF(ISERROR(VLOOKUP(SMALL('Error Check Table-Hidden'!B:B,ROW(C319)-3),ErrorCheckTable,4,FALSE)), "",(VLOOKUP(SMALL('Error Check Table-Hidden'!B:B,ROW(C319)-3),ErrorCheckTable,4,FALSE)))</f>
        <v/>
      </c>
    </row>
    <row r="320" spans="2:4" x14ac:dyDescent="0.2">
      <c r="B320" s="67" t="str">
        <f t="shared" si="5"/>
        <v/>
      </c>
      <c r="C320" s="67" t="str">
        <f>IF(ISERROR(VLOOKUP(SMALL('Error Check Table-Hidden'!B:B,ROW(C320)-3),ErrorCheckTable,3,FALSE)), "",(VLOOKUP(SMALL('Error Check Table-Hidden'!B:B,ROW(C320)-3),ErrorCheckTable,3,FALSE)))</f>
        <v/>
      </c>
      <c r="D320" s="59" t="str">
        <f>IF(ISERROR(VLOOKUP(SMALL('Error Check Table-Hidden'!B:B,ROW(C320)-3),ErrorCheckTable,4,FALSE)), "",(VLOOKUP(SMALL('Error Check Table-Hidden'!B:B,ROW(C320)-3),ErrorCheckTable,4,FALSE)))</f>
        <v/>
      </c>
    </row>
    <row r="321" spans="2:4" x14ac:dyDescent="0.2">
      <c r="B321" s="67" t="str">
        <f t="shared" si="5"/>
        <v/>
      </c>
      <c r="C321" s="67" t="str">
        <f>IF(ISERROR(VLOOKUP(SMALL('Error Check Table-Hidden'!B:B,ROW(C321)-3),ErrorCheckTable,3,FALSE)), "",(VLOOKUP(SMALL('Error Check Table-Hidden'!B:B,ROW(C321)-3),ErrorCheckTable,3,FALSE)))</f>
        <v/>
      </c>
      <c r="D321" s="59" t="str">
        <f>IF(ISERROR(VLOOKUP(SMALL('Error Check Table-Hidden'!B:B,ROW(C321)-3),ErrorCheckTable,4,FALSE)), "",(VLOOKUP(SMALL('Error Check Table-Hidden'!B:B,ROW(C321)-3),ErrorCheckTable,4,FALSE)))</f>
        <v/>
      </c>
    </row>
    <row r="322" spans="2:4" x14ac:dyDescent="0.2">
      <c r="B322" s="67" t="str">
        <f t="shared" si="5"/>
        <v/>
      </c>
      <c r="C322" s="67" t="str">
        <f>IF(ISERROR(VLOOKUP(SMALL('Error Check Table-Hidden'!B:B,ROW(C322)-3),ErrorCheckTable,3,FALSE)), "",(VLOOKUP(SMALL('Error Check Table-Hidden'!B:B,ROW(C322)-3),ErrorCheckTable,3,FALSE)))</f>
        <v/>
      </c>
      <c r="D322" s="59" t="str">
        <f>IF(ISERROR(VLOOKUP(SMALL('Error Check Table-Hidden'!B:B,ROW(C322)-3),ErrorCheckTable,4,FALSE)), "",(VLOOKUP(SMALL('Error Check Table-Hidden'!B:B,ROW(C322)-3),ErrorCheckTable,4,FALSE)))</f>
        <v/>
      </c>
    </row>
    <row r="323" spans="2:4" x14ac:dyDescent="0.2">
      <c r="B323" s="67" t="str">
        <f t="shared" si="5"/>
        <v/>
      </c>
      <c r="C323" s="67" t="str">
        <f>IF(ISERROR(VLOOKUP(SMALL('Error Check Table-Hidden'!B:B,ROW(C323)-3),ErrorCheckTable,3,FALSE)), "",(VLOOKUP(SMALL('Error Check Table-Hidden'!B:B,ROW(C323)-3),ErrorCheckTable,3,FALSE)))</f>
        <v/>
      </c>
      <c r="D323" s="59" t="str">
        <f>IF(ISERROR(VLOOKUP(SMALL('Error Check Table-Hidden'!B:B,ROW(C323)-3),ErrorCheckTable,4,FALSE)), "",(VLOOKUP(SMALL('Error Check Table-Hidden'!B:B,ROW(C323)-3),ErrorCheckTable,4,FALSE)))</f>
        <v/>
      </c>
    </row>
    <row r="324" spans="2:4" x14ac:dyDescent="0.2">
      <c r="B324" s="67" t="str">
        <f t="shared" si="5"/>
        <v/>
      </c>
      <c r="C324" s="67" t="str">
        <f>IF(ISERROR(VLOOKUP(SMALL('Error Check Table-Hidden'!B:B,ROW(C324)-3),ErrorCheckTable,3,FALSE)), "",(VLOOKUP(SMALL('Error Check Table-Hidden'!B:B,ROW(C324)-3),ErrorCheckTable,3,FALSE)))</f>
        <v/>
      </c>
      <c r="D324" s="59" t="str">
        <f>IF(ISERROR(VLOOKUP(SMALL('Error Check Table-Hidden'!B:B,ROW(C324)-3),ErrorCheckTable,4,FALSE)), "",(VLOOKUP(SMALL('Error Check Table-Hidden'!B:B,ROW(C324)-3),ErrorCheckTable,4,FALSE)))</f>
        <v/>
      </c>
    </row>
    <row r="325" spans="2:4" x14ac:dyDescent="0.2">
      <c r="B325" s="67" t="str">
        <f t="shared" si="5"/>
        <v/>
      </c>
      <c r="C325" s="67" t="str">
        <f>IF(ISERROR(VLOOKUP(SMALL('Error Check Table-Hidden'!B:B,ROW(C325)-3),ErrorCheckTable,3,FALSE)), "",(VLOOKUP(SMALL('Error Check Table-Hidden'!B:B,ROW(C325)-3),ErrorCheckTable,3,FALSE)))</f>
        <v/>
      </c>
      <c r="D325" s="59" t="str">
        <f>IF(ISERROR(VLOOKUP(SMALL('Error Check Table-Hidden'!B:B,ROW(C325)-3),ErrorCheckTable,4,FALSE)), "",(VLOOKUP(SMALL('Error Check Table-Hidden'!B:B,ROW(C325)-3),ErrorCheckTable,4,FALSE)))</f>
        <v/>
      </c>
    </row>
    <row r="326" spans="2:4" x14ac:dyDescent="0.2">
      <c r="B326" s="67" t="str">
        <f t="shared" si="5"/>
        <v/>
      </c>
      <c r="C326" s="67" t="str">
        <f>IF(ISERROR(VLOOKUP(SMALL('Error Check Table-Hidden'!B:B,ROW(C326)-3),ErrorCheckTable,3,FALSE)), "",(VLOOKUP(SMALL('Error Check Table-Hidden'!B:B,ROW(C326)-3),ErrorCheckTable,3,FALSE)))</f>
        <v/>
      </c>
      <c r="D326" s="59" t="str">
        <f>IF(ISERROR(VLOOKUP(SMALL('Error Check Table-Hidden'!B:B,ROW(C326)-3),ErrorCheckTable,4,FALSE)), "",(VLOOKUP(SMALL('Error Check Table-Hidden'!B:B,ROW(C326)-3),ErrorCheckTable,4,FALSE)))</f>
        <v/>
      </c>
    </row>
    <row r="327" spans="2:4" x14ac:dyDescent="0.2">
      <c r="B327" s="67" t="str">
        <f t="shared" si="5"/>
        <v/>
      </c>
      <c r="C327" s="67" t="str">
        <f>IF(ISERROR(VLOOKUP(SMALL('Error Check Table-Hidden'!B:B,ROW(C327)-3),ErrorCheckTable,3,FALSE)), "",(VLOOKUP(SMALL('Error Check Table-Hidden'!B:B,ROW(C327)-3),ErrorCheckTable,3,FALSE)))</f>
        <v/>
      </c>
      <c r="D327" s="59" t="str">
        <f>IF(ISERROR(VLOOKUP(SMALL('Error Check Table-Hidden'!B:B,ROW(C327)-3),ErrorCheckTable,4,FALSE)), "",(VLOOKUP(SMALL('Error Check Table-Hidden'!B:B,ROW(C327)-3),ErrorCheckTable,4,FALSE)))</f>
        <v/>
      </c>
    </row>
    <row r="328" spans="2:4" x14ac:dyDescent="0.2">
      <c r="B328" s="67" t="str">
        <f t="shared" si="5"/>
        <v/>
      </c>
      <c r="C328" s="67" t="str">
        <f>IF(ISERROR(VLOOKUP(SMALL('Error Check Table-Hidden'!B:B,ROW(C328)-3),ErrorCheckTable,3,FALSE)), "",(VLOOKUP(SMALL('Error Check Table-Hidden'!B:B,ROW(C328)-3),ErrorCheckTable,3,FALSE)))</f>
        <v/>
      </c>
      <c r="D328" s="59" t="str">
        <f>IF(ISERROR(VLOOKUP(SMALL('Error Check Table-Hidden'!B:B,ROW(C328)-3),ErrorCheckTable,4,FALSE)), "",(VLOOKUP(SMALL('Error Check Table-Hidden'!B:B,ROW(C328)-3),ErrorCheckTable,4,FALSE)))</f>
        <v/>
      </c>
    </row>
    <row r="329" spans="2:4" x14ac:dyDescent="0.2">
      <c r="B329" s="67" t="str">
        <f t="shared" si="5"/>
        <v/>
      </c>
      <c r="C329" s="67" t="str">
        <f>IF(ISERROR(VLOOKUP(SMALL('Error Check Table-Hidden'!B:B,ROW(C329)-3),ErrorCheckTable,3,FALSE)), "",(VLOOKUP(SMALL('Error Check Table-Hidden'!B:B,ROW(C329)-3),ErrorCheckTable,3,FALSE)))</f>
        <v/>
      </c>
      <c r="D329" s="59" t="str">
        <f>IF(ISERROR(VLOOKUP(SMALL('Error Check Table-Hidden'!B:B,ROW(C329)-3),ErrorCheckTable,4,FALSE)), "",(VLOOKUP(SMALL('Error Check Table-Hidden'!B:B,ROW(C329)-3),ErrorCheckTable,4,FALSE)))</f>
        <v/>
      </c>
    </row>
    <row r="330" spans="2:4" x14ac:dyDescent="0.2">
      <c r="B330" s="67" t="str">
        <f t="shared" si="5"/>
        <v/>
      </c>
      <c r="C330" s="67" t="str">
        <f>IF(ISERROR(VLOOKUP(SMALL('Error Check Table-Hidden'!B:B,ROW(C330)-3),ErrorCheckTable,3,FALSE)), "",(VLOOKUP(SMALL('Error Check Table-Hidden'!B:B,ROW(C330)-3),ErrorCheckTable,3,FALSE)))</f>
        <v/>
      </c>
      <c r="D330" s="59" t="str">
        <f>IF(ISERROR(VLOOKUP(SMALL('Error Check Table-Hidden'!B:B,ROW(C330)-3),ErrorCheckTable,4,FALSE)), "",(VLOOKUP(SMALL('Error Check Table-Hidden'!B:B,ROW(C330)-3),ErrorCheckTable,4,FALSE)))</f>
        <v/>
      </c>
    </row>
    <row r="331" spans="2:4" x14ac:dyDescent="0.2">
      <c r="B331" s="67" t="str">
        <f t="shared" si="5"/>
        <v/>
      </c>
      <c r="C331" s="67" t="str">
        <f>IF(ISERROR(VLOOKUP(SMALL('Error Check Table-Hidden'!B:B,ROW(C331)-3),ErrorCheckTable,3,FALSE)), "",(VLOOKUP(SMALL('Error Check Table-Hidden'!B:B,ROW(C331)-3),ErrorCheckTable,3,FALSE)))</f>
        <v/>
      </c>
      <c r="D331" s="59" t="str">
        <f>IF(ISERROR(VLOOKUP(SMALL('Error Check Table-Hidden'!B:B,ROW(C331)-3),ErrorCheckTable,4,FALSE)), "",(VLOOKUP(SMALL('Error Check Table-Hidden'!B:B,ROW(C331)-3),ErrorCheckTable,4,FALSE)))</f>
        <v/>
      </c>
    </row>
    <row r="332" spans="2:4" x14ac:dyDescent="0.2">
      <c r="B332" s="67" t="str">
        <f t="shared" si="5"/>
        <v/>
      </c>
      <c r="C332" s="67" t="str">
        <f>IF(ISERROR(VLOOKUP(SMALL('Error Check Table-Hidden'!B:B,ROW(C332)-3),ErrorCheckTable,3,FALSE)), "",(VLOOKUP(SMALL('Error Check Table-Hidden'!B:B,ROW(C332)-3),ErrorCheckTable,3,FALSE)))</f>
        <v/>
      </c>
      <c r="D332" s="59" t="str">
        <f>IF(ISERROR(VLOOKUP(SMALL('Error Check Table-Hidden'!B:B,ROW(C332)-3),ErrorCheckTable,4,FALSE)), "",(VLOOKUP(SMALL('Error Check Table-Hidden'!B:B,ROW(C332)-3),ErrorCheckTable,4,FALSE)))</f>
        <v/>
      </c>
    </row>
    <row r="333" spans="2:4" x14ac:dyDescent="0.2">
      <c r="B333" s="67" t="str">
        <f t="shared" si="5"/>
        <v/>
      </c>
      <c r="C333" s="67" t="str">
        <f>IF(ISERROR(VLOOKUP(SMALL('Error Check Table-Hidden'!B:B,ROW(C333)-3),ErrorCheckTable,3,FALSE)), "",(VLOOKUP(SMALL('Error Check Table-Hidden'!B:B,ROW(C333)-3),ErrorCheckTable,3,FALSE)))</f>
        <v/>
      </c>
      <c r="D333" s="59" t="str">
        <f>IF(ISERROR(VLOOKUP(SMALL('Error Check Table-Hidden'!B:B,ROW(C333)-3),ErrorCheckTable,4,FALSE)), "",(VLOOKUP(SMALL('Error Check Table-Hidden'!B:B,ROW(C333)-3),ErrorCheckTable,4,FALSE)))</f>
        <v/>
      </c>
    </row>
    <row r="334" spans="2:4" x14ac:dyDescent="0.2">
      <c r="B334" s="67" t="str">
        <f t="shared" si="5"/>
        <v/>
      </c>
      <c r="C334" s="67" t="str">
        <f>IF(ISERROR(VLOOKUP(SMALL('Error Check Table-Hidden'!B:B,ROW(C334)-3),ErrorCheckTable,3,FALSE)), "",(VLOOKUP(SMALL('Error Check Table-Hidden'!B:B,ROW(C334)-3),ErrorCheckTable,3,FALSE)))</f>
        <v/>
      </c>
      <c r="D334" s="59" t="str">
        <f>IF(ISERROR(VLOOKUP(SMALL('Error Check Table-Hidden'!B:B,ROW(C334)-3),ErrorCheckTable,4,FALSE)), "",(VLOOKUP(SMALL('Error Check Table-Hidden'!B:B,ROW(C334)-3),ErrorCheckTable,4,FALSE)))</f>
        <v/>
      </c>
    </row>
    <row r="335" spans="2:4" x14ac:dyDescent="0.2">
      <c r="B335" s="67" t="str">
        <f t="shared" si="5"/>
        <v/>
      </c>
      <c r="C335" s="67" t="str">
        <f>IF(ISERROR(VLOOKUP(SMALL('Error Check Table-Hidden'!B:B,ROW(C335)-3),ErrorCheckTable,3,FALSE)), "",(VLOOKUP(SMALL('Error Check Table-Hidden'!B:B,ROW(C335)-3),ErrorCheckTable,3,FALSE)))</f>
        <v/>
      </c>
      <c r="D335" s="59" t="str">
        <f>IF(ISERROR(VLOOKUP(SMALL('Error Check Table-Hidden'!B:B,ROW(C335)-3),ErrorCheckTable,4,FALSE)), "",(VLOOKUP(SMALL('Error Check Table-Hidden'!B:B,ROW(C335)-3),ErrorCheckTable,4,FALSE)))</f>
        <v/>
      </c>
    </row>
    <row r="336" spans="2:4" x14ac:dyDescent="0.2">
      <c r="B336" s="67" t="str">
        <f t="shared" si="5"/>
        <v/>
      </c>
      <c r="C336" s="67" t="str">
        <f>IF(ISERROR(VLOOKUP(SMALL('Error Check Table-Hidden'!B:B,ROW(C336)-3),ErrorCheckTable,3,FALSE)), "",(VLOOKUP(SMALL('Error Check Table-Hidden'!B:B,ROW(C336)-3),ErrorCheckTable,3,FALSE)))</f>
        <v/>
      </c>
      <c r="D336" s="59" t="str">
        <f>IF(ISERROR(VLOOKUP(SMALL('Error Check Table-Hidden'!B:B,ROW(C336)-3),ErrorCheckTable,4,FALSE)), "",(VLOOKUP(SMALL('Error Check Table-Hidden'!B:B,ROW(C336)-3),ErrorCheckTable,4,FALSE)))</f>
        <v/>
      </c>
    </row>
    <row r="337" spans="2:4" x14ac:dyDescent="0.2">
      <c r="B337" s="67" t="str">
        <f t="shared" si="5"/>
        <v/>
      </c>
      <c r="C337" s="67" t="str">
        <f>IF(ISERROR(VLOOKUP(SMALL('Error Check Table-Hidden'!B:B,ROW(C337)-3),ErrorCheckTable,3,FALSE)), "",(VLOOKUP(SMALL('Error Check Table-Hidden'!B:B,ROW(C337)-3),ErrorCheckTable,3,FALSE)))</f>
        <v/>
      </c>
      <c r="D337" s="59" t="str">
        <f>IF(ISERROR(VLOOKUP(SMALL('Error Check Table-Hidden'!B:B,ROW(C337)-3),ErrorCheckTable,4,FALSE)), "",(VLOOKUP(SMALL('Error Check Table-Hidden'!B:B,ROW(C337)-3),ErrorCheckTable,4,FALSE)))</f>
        <v/>
      </c>
    </row>
    <row r="338" spans="2:4" x14ac:dyDescent="0.2">
      <c r="B338" s="67" t="str">
        <f t="shared" si="5"/>
        <v/>
      </c>
      <c r="C338" s="67" t="str">
        <f>IF(ISERROR(VLOOKUP(SMALL('Error Check Table-Hidden'!B:B,ROW(C338)-3),ErrorCheckTable,3,FALSE)), "",(VLOOKUP(SMALL('Error Check Table-Hidden'!B:B,ROW(C338)-3),ErrorCheckTable,3,FALSE)))</f>
        <v/>
      </c>
      <c r="D338" s="59" t="str">
        <f>IF(ISERROR(VLOOKUP(SMALL('Error Check Table-Hidden'!B:B,ROW(C338)-3),ErrorCheckTable,4,FALSE)), "",(VLOOKUP(SMALL('Error Check Table-Hidden'!B:B,ROW(C338)-3),ErrorCheckTable,4,FALSE)))</f>
        <v/>
      </c>
    </row>
    <row r="339" spans="2:4" x14ac:dyDescent="0.2">
      <c r="B339" s="67" t="str">
        <f t="shared" si="5"/>
        <v/>
      </c>
      <c r="C339" s="67" t="str">
        <f>IF(ISERROR(VLOOKUP(SMALL('Error Check Table-Hidden'!B:B,ROW(C339)-3),ErrorCheckTable,3,FALSE)), "",(VLOOKUP(SMALL('Error Check Table-Hidden'!B:B,ROW(C339)-3),ErrorCheckTable,3,FALSE)))</f>
        <v/>
      </c>
      <c r="D339" s="59" t="str">
        <f>IF(ISERROR(VLOOKUP(SMALL('Error Check Table-Hidden'!B:B,ROW(C339)-3),ErrorCheckTable,4,FALSE)), "",(VLOOKUP(SMALL('Error Check Table-Hidden'!B:B,ROW(C339)-3),ErrorCheckTable,4,FALSE)))</f>
        <v/>
      </c>
    </row>
    <row r="340" spans="2:4" x14ac:dyDescent="0.2">
      <c r="B340" s="67" t="str">
        <f t="shared" si="5"/>
        <v/>
      </c>
      <c r="C340" s="67" t="str">
        <f>IF(ISERROR(VLOOKUP(SMALL('Error Check Table-Hidden'!B:B,ROW(C340)-3),ErrorCheckTable,3,FALSE)), "",(VLOOKUP(SMALL('Error Check Table-Hidden'!B:B,ROW(C340)-3),ErrorCheckTable,3,FALSE)))</f>
        <v/>
      </c>
      <c r="D340" s="59" t="str">
        <f>IF(ISERROR(VLOOKUP(SMALL('Error Check Table-Hidden'!B:B,ROW(C340)-3),ErrorCheckTable,4,FALSE)), "",(VLOOKUP(SMALL('Error Check Table-Hidden'!B:B,ROW(C340)-3),ErrorCheckTable,4,FALSE)))</f>
        <v/>
      </c>
    </row>
    <row r="341" spans="2:4" x14ac:dyDescent="0.2">
      <c r="B341" s="67" t="str">
        <f t="shared" si="5"/>
        <v/>
      </c>
      <c r="C341" s="67" t="str">
        <f>IF(ISERROR(VLOOKUP(SMALL('Error Check Table-Hidden'!B:B,ROW(C341)-3),ErrorCheckTable,3,FALSE)), "",(VLOOKUP(SMALL('Error Check Table-Hidden'!B:B,ROW(C341)-3),ErrorCheckTable,3,FALSE)))</f>
        <v/>
      </c>
      <c r="D341" s="59" t="str">
        <f>IF(ISERROR(VLOOKUP(SMALL('Error Check Table-Hidden'!B:B,ROW(C341)-3),ErrorCheckTable,4,FALSE)), "",(VLOOKUP(SMALL('Error Check Table-Hidden'!B:B,ROW(C341)-3),ErrorCheckTable,4,FALSE)))</f>
        <v/>
      </c>
    </row>
    <row r="342" spans="2:4" x14ac:dyDescent="0.2">
      <c r="B342" s="67" t="str">
        <f t="shared" si="5"/>
        <v/>
      </c>
      <c r="C342" s="67" t="str">
        <f>IF(ISERROR(VLOOKUP(SMALL('Error Check Table-Hidden'!B:B,ROW(C342)-3),ErrorCheckTable,3,FALSE)), "",(VLOOKUP(SMALL('Error Check Table-Hidden'!B:B,ROW(C342)-3),ErrorCheckTable,3,FALSE)))</f>
        <v/>
      </c>
      <c r="D342" s="59" t="str">
        <f>IF(ISERROR(VLOOKUP(SMALL('Error Check Table-Hidden'!B:B,ROW(C342)-3),ErrorCheckTable,4,FALSE)), "",(VLOOKUP(SMALL('Error Check Table-Hidden'!B:B,ROW(C342)-3),ErrorCheckTable,4,FALSE)))</f>
        <v/>
      </c>
    </row>
    <row r="343" spans="2:4" x14ac:dyDescent="0.2">
      <c r="B343" s="67" t="str">
        <f t="shared" si="5"/>
        <v/>
      </c>
      <c r="C343" s="67" t="str">
        <f>IF(ISERROR(VLOOKUP(SMALL('Error Check Table-Hidden'!B:B,ROW(C343)-3),ErrorCheckTable,3,FALSE)), "",(VLOOKUP(SMALL('Error Check Table-Hidden'!B:B,ROW(C343)-3),ErrorCheckTable,3,FALSE)))</f>
        <v/>
      </c>
      <c r="D343" s="59" t="str">
        <f>IF(ISERROR(VLOOKUP(SMALL('Error Check Table-Hidden'!B:B,ROW(C343)-3),ErrorCheckTable,4,FALSE)), "",(VLOOKUP(SMALL('Error Check Table-Hidden'!B:B,ROW(C343)-3),ErrorCheckTable,4,FALSE)))</f>
        <v/>
      </c>
    </row>
    <row r="344" spans="2:4" x14ac:dyDescent="0.2">
      <c r="B344" s="67" t="str">
        <f t="shared" si="5"/>
        <v/>
      </c>
      <c r="C344" s="67" t="str">
        <f>IF(ISERROR(VLOOKUP(SMALL('Error Check Table-Hidden'!B:B,ROW(C344)-3),ErrorCheckTable,3,FALSE)), "",(VLOOKUP(SMALL('Error Check Table-Hidden'!B:B,ROW(C344)-3),ErrorCheckTable,3,FALSE)))</f>
        <v/>
      </c>
      <c r="D344" s="59" t="str">
        <f>IF(ISERROR(VLOOKUP(SMALL('Error Check Table-Hidden'!B:B,ROW(C344)-3),ErrorCheckTable,4,FALSE)), "",(VLOOKUP(SMALL('Error Check Table-Hidden'!B:B,ROW(C344)-3),ErrorCheckTable,4,FALSE)))</f>
        <v/>
      </c>
    </row>
    <row r="345" spans="2:4" x14ac:dyDescent="0.2">
      <c r="B345" s="67" t="str">
        <f t="shared" si="5"/>
        <v/>
      </c>
      <c r="C345" s="67" t="str">
        <f>IF(ISERROR(VLOOKUP(SMALL('Error Check Table-Hidden'!B:B,ROW(C345)-3),ErrorCheckTable,3,FALSE)), "",(VLOOKUP(SMALL('Error Check Table-Hidden'!B:B,ROW(C345)-3),ErrorCheckTable,3,FALSE)))</f>
        <v/>
      </c>
      <c r="D345" s="59" t="str">
        <f>IF(ISERROR(VLOOKUP(SMALL('Error Check Table-Hidden'!B:B,ROW(C345)-3),ErrorCheckTable,4,FALSE)), "",(VLOOKUP(SMALL('Error Check Table-Hidden'!B:B,ROW(C345)-3),ErrorCheckTable,4,FALSE)))</f>
        <v/>
      </c>
    </row>
    <row r="346" spans="2:4" x14ac:dyDescent="0.2">
      <c r="B346" s="67" t="str">
        <f t="shared" si="5"/>
        <v/>
      </c>
      <c r="C346" s="67" t="str">
        <f>IF(ISERROR(VLOOKUP(SMALL('Error Check Table-Hidden'!B:B,ROW(C346)-3),ErrorCheckTable,3,FALSE)), "",(VLOOKUP(SMALL('Error Check Table-Hidden'!B:B,ROW(C346)-3),ErrorCheckTable,3,FALSE)))</f>
        <v/>
      </c>
      <c r="D346" s="59" t="str">
        <f>IF(ISERROR(VLOOKUP(SMALL('Error Check Table-Hidden'!B:B,ROW(C346)-3),ErrorCheckTable,4,FALSE)), "",(VLOOKUP(SMALL('Error Check Table-Hidden'!B:B,ROW(C346)-3),ErrorCheckTable,4,FALSE)))</f>
        <v/>
      </c>
    </row>
    <row r="347" spans="2:4" x14ac:dyDescent="0.2">
      <c r="B347" s="67" t="str">
        <f t="shared" si="5"/>
        <v/>
      </c>
      <c r="C347" s="67" t="str">
        <f>IF(ISERROR(VLOOKUP(SMALL('Error Check Table-Hidden'!B:B,ROW(C347)-3),ErrorCheckTable,3,FALSE)), "",(VLOOKUP(SMALL('Error Check Table-Hidden'!B:B,ROW(C347)-3),ErrorCheckTable,3,FALSE)))</f>
        <v/>
      </c>
      <c r="D347" s="59" t="str">
        <f>IF(ISERROR(VLOOKUP(SMALL('Error Check Table-Hidden'!B:B,ROW(C347)-3),ErrorCheckTable,4,FALSE)), "",(VLOOKUP(SMALL('Error Check Table-Hidden'!B:B,ROW(C347)-3),ErrorCheckTable,4,FALSE)))</f>
        <v/>
      </c>
    </row>
    <row r="348" spans="2:4" x14ac:dyDescent="0.2">
      <c r="B348" s="67" t="str">
        <f t="shared" si="5"/>
        <v/>
      </c>
      <c r="C348" s="67" t="str">
        <f>IF(ISERROR(VLOOKUP(SMALL('Error Check Table-Hidden'!B:B,ROW(C348)-3),ErrorCheckTable,3,FALSE)), "",(VLOOKUP(SMALL('Error Check Table-Hidden'!B:B,ROW(C348)-3),ErrorCheckTable,3,FALSE)))</f>
        <v/>
      </c>
      <c r="D348" s="59" t="str">
        <f>IF(ISERROR(VLOOKUP(SMALL('Error Check Table-Hidden'!B:B,ROW(C348)-3),ErrorCheckTable,4,FALSE)), "",(VLOOKUP(SMALL('Error Check Table-Hidden'!B:B,ROW(C348)-3),ErrorCheckTable,4,FALSE)))</f>
        <v/>
      </c>
    </row>
    <row r="349" spans="2:4" x14ac:dyDescent="0.2">
      <c r="B349" s="67" t="str">
        <f t="shared" si="5"/>
        <v/>
      </c>
      <c r="C349" s="67" t="str">
        <f>IF(ISERROR(VLOOKUP(SMALL('Error Check Table-Hidden'!B:B,ROW(C349)-3),ErrorCheckTable,3,FALSE)), "",(VLOOKUP(SMALL('Error Check Table-Hidden'!B:B,ROW(C349)-3),ErrorCheckTable,3,FALSE)))</f>
        <v/>
      </c>
      <c r="D349" s="59" t="str">
        <f>IF(ISERROR(VLOOKUP(SMALL('Error Check Table-Hidden'!B:B,ROW(C349)-3),ErrorCheckTable,4,FALSE)), "",(VLOOKUP(SMALL('Error Check Table-Hidden'!B:B,ROW(C349)-3),ErrorCheckTable,4,FALSE)))</f>
        <v/>
      </c>
    </row>
    <row r="350" spans="2:4" x14ac:dyDescent="0.2">
      <c r="B350" s="67" t="str">
        <f t="shared" si="5"/>
        <v/>
      </c>
      <c r="C350" s="67" t="str">
        <f>IF(ISERROR(VLOOKUP(SMALL('Error Check Table-Hidden'!B:B,ROW(C350)-3),ErrorCheckTable,3,FALSE)), "",(VLOOKUP(SMALL('Error Check Table-Hidden'!B:B,ROW(C350)-3),ErrorCheckTable,3,FALSE)))</f>
        <v/>
      </c>
      <c r="D350" s="59" t="str">
        <f>IF(ISERROR(VLOOKUP(SMALL('Error Check Table-Hidden'!B:B,ROW(C350)-3),ErrorCheckTable,4,FALSE)), "",(VLOOKUP(SMALL('Error Check Table-Hidden'!B:B,ROW(C350)-3),ErrorCheckTable,4,FALSE)))</f>
        <v/>
      </c>
    </row>
    <row r="351" spans="2:4" x14ac:dyDescent="0.2">
      <c r="B351" s="67" t="str">
        <f t="shared" si="5"/>
        <v/>
      </c>
      <c r="C351" s="67" t="str">
        <f>IF(ISERROR(VLOOKUP(SMALL('Error Check Table-Hidden'!B:B,ROW(C351)-3),ErrorCheckTable,3,FALSE)), "",(VLOOKUP(SMALL('Error Check Table-Hidden'!B:B,ROW(C351)-3),ErrorCheckTable,3,FALSE)))</f>
        <v/>
      </c>
      <c r="D351" s="59" t="str">
        <f>IF(ISERROR(VLOOKUP(SMALL('Error Check Table-Hidden'!B:B,ROW(C351)-3),ErrorCheckTable,4,FALSE)), "",(VLOOKUP(SMALL('Error Check Table-Hidden'!B:B,ROW(C351)-3),ErrorCheckTable,4,FALSE)))</f>
        <v/>
      </c>
    </row>
    <row r="352" spans="2:4" x14ac:dyDescent="0.2">
      <c r="B352" s="67" t="str">
        <f t="shared" si="5"/>
        <v/>
      </c>
      <c r="C352" s="67" t="str">
        <f>IF(ISERROR(VLOOKUP(SMALL('Error Check Table-Hidden'!B:B,ROW(C352)-3),ErrorCheckTable,3,FALSE)), "",(VLOOKUP(SMALL('Error Check Table-Hidden'!B:B,ROW(C352)-3),ErrorCheckTable,3,FALSE)))</f>
        <v/>
      </c>
      <c r="D352" s="59" t="str">
        <f>IF(ISERROR(VLOOKUP(SMALL('Error Check Table-Hidden'!B:B,ROW(C352)-3),ErrorCheckTable,4,FALSE)), "",(VLOOKUP(SMALL('Error Check Table-Hidden'!B:B,ROW(C352)-3),ErrorCheckTable,4,FALSE)))</f>
        <v/>
      </c>
    </row>
    <row r="353" spans="2:4" x14ac:dyDescent="0.2">
      <c r="B353" s="67" t="str">
        <f t="shared" si="5"/>
        <v/>
      </c>
      <c r="C353" s="67" t="str">
        <f>IF(ISERROR(VLOOKUP(SMALL('Error Check Table-Hidden'!B:B,ROW(C353)-3),ErrorCheckTable,3,FALSE)), "",(VLOOKUP(SMALL('Error Check Table-Hidden'!B:B,ROW(C353)-3),ErrorCheckTable,3,FALSE)))</f>
        <v/>
      </c>
      <c r="D353" s="59" t="str">
        <f>IF(ISERROR(VLOOKUP(SMALL('Error Check Table-Hidden'!B:B,ROW(C353)-3),ErrorCheckTable,4,FALSE)), "",(VLOOKUP(SMALL('Error Check Table-Hidden'!B:B,ROW(C353)-3),ErrorCheckTable,4,FALSE)))</f>
        <v/>
      </c>
    </row>
    <row r="354" spans="2:4" x14ac:dyDescent="0.2">
      <c r="B354" s="67" t="str">
        <f t="shared" si="5"/>
        <v/>
      </c>
      <c r="C354" s="67" t="str">
        <f>IF(ISERROR(VLOOKUP(SMALL('Error Check Table-Hidden'!B:B,ROW(C354)-3),ErrorCheckTable,3,FALSE)), "",(VLOOKUP(SMALL('Error Check Table-Hidden'!B:B,ROW(C354)-3),ErrorCheckTable,3,FALSE)))</f>
        <v/>
      </c>
      <c r="D354" s="59" t="str">
        <f>IF(ISERROR(VLOOKUP(SMALL('Error Check Table-Hidden'!B:B,ROW(C354)-3),ErrorCheckTable,4,FALSE)), "",(VLOOKUP(SMALL('Error Check Table-Hidden'!B:B,ROW(C354)-3),ErrorCheckTable,4,FALSE)))</f>
        <v/>
      </c>
    </row>
    <row r="355" spans="2:4" x14ac:dyDescent="0.2">
      <c r="B355" s="67" t="str">
        <f t="shared" si="5"/>
        <v/>
      </c>
      <c r="C355" s="67" t="str">
        <f>IF(ISERROR(VLOOKUP(SMALL('Error Check Table-Hidden'!B:B,ROW(C355)-3),ErrorCheckTable,3,FALSE)), "",(VLOOKUP(SMALL('Error Check Table-Hidden'!B:B,ROW(C355)-3),ErrorCheckTable,3,FALSE)))</f>
        <v/>
      </c>
      <c r="D355" s="59" t="str">
        <f>IF(ISERROR(VLOOKUP(SMALL('Error Check Table-Hidden'!B:B,ROW(C355)-3),ErrorCheckTable,4,FALSE)), "",(VLOOKUP(SMALL('Error Check Table-Hidden'!B:B,ROW(C355)-3),ErrorCheckTable,4,FALSE)))</f>
        <v/>
      </c>
    </row>
    <row r="356" spans="2:4" x14ac:dyDescent="0.2">
      <c r="B356" s="67" t="str">
        <f t="shared" si="5"/>
        <v/>
      </c>
      <c r="C356" s="67" t="str">
        <f>IF(ISERROR(VLOOKUP(SMALL('Error Check Table-Hidden'!B:B,ROW(C356)-3),ErrorCheckTable,3,FALSE)), "",(VLOOKUP(SMALL('Error Check Table-Hidden'!B:B,ROW(C356)-3),ErrorCheckTable,3,FALSE)))</f>
        <v/>
      </c>
      <c r="D356" s="59" t="str">
        <f>IF(ISERROR(VLOOKUP(SMALL('Error Check Table-Hidden'!B:B,ROW(C356)-3),ErrorCheckTable,4,FALSE)), "",(VLOOKUP(SMALL('Error Check Table-Hidden'!B:B,ROW(C356)-3),ErrorCheckTable,4,FALSE)))</f>
        <v/>
      </c>
    </row>
    <row r="357" spans="2:4" x14ac:dyDescent="0.2">
      <c r="B357" s="67" t="str">
        <f t="shared" si="5"/>
        <v/>
      </c>
      <c r="C357" s="67" t="str">
        <f>IF(ISERROR(VLOOKUP(SMALL('Error Check Table-Hidden'!B:B,ROW(C357)-3),ErrorCheckTable,3,FALSE)), "",(VLOOKUP(SMALL('Error Check Table-Hidden'!B:B,ROW(C357)-3),ErrorCheckTable,3,FALSE)))</f>
        <v/>
      </c>
      <c r="D357" s="59" t="str">
        <f>IF(ISERROR(VLOOKUP(SMALL('Error Check Table-Hidden'!B:B,ROW(C357)-3),ErrorCheckTable,4,FALSE)), "",(VLOOKUP(SMALL('Error Check Table-Hidden'!B:B,ROW(C357)-3),ErrorCheckTable,4,FALSE)))</f>
        <v/>
      </c>
    </row>
    <row r="358" spans="2:4" x14ac:dyDescent="0.2">
      <c r="B358" s="67" t="str">
        <f t="shared" si="5"/>
        <v/>
      </c>
      <c r="C358" s="67" t="str">
        <f>IF(ISERROR(VLOOKUP(SMALL('Error Check Table-Hidden'!B:B,ROW(C358)-3),ErrorCheckTable,3,FALSE)), "",(VLOOKUP(SMALL('Error Check Table-Hidden'!B:B,ROW(C358)-3),ErrorCheckTable,3,FALSE)))</f>
        <v/>
      </c>
      <c r="D358" s="59" t="str">
        <f>IF(ISERROR(VLOOKUP(SMALL('Error Check Table-Hidden'!B:B,ROW(C358)-3),ErrorCheckTable,4,FALSE)), "",(VLOOKUP(SMALL('Error Check Table-Hidden'!B:B,ROW(C358)-3),ErrorCheckTable,4,FALSE)))</f>
        <v/>
      </c>
    </row>
    <row r="359" spans="2:4" x14ac:dyDescent="0.2">
      <c r="B359" s="67" t="str">
        <f t="shared" si="5"/>
        <v/>
      </c>
      <c r="C359" s="67" t="str">
        <f>IF(ISERROR(VLOOKUP(SMALL('Error Check Table-Hidden'!B:B,ROW(C359)-3),ErrorCheckTable,3,FALSE)), "",(VLOOKUP(SMALL('Error Check Table-Hidden'!B:B,ROW(C359)-3),ErrorCheckTable,3,FALSE)))</f>
        <v/>
      </c>
      <c r="D359" s="59" t="str">
        <f>IF(ISERROR(VLOOKUP(SMALL('Error Check Table-Hidden'!B:B,ROW(C359)-3),ErrorCheckTable,4,FALSE)), "",(VLOOKUP(SMALL('Error Check Table-Hidden'!B:B,ROW(C359)-3),ErrorCheckTable,4,FALSE)))</f>
        <v/>
      </c>
    </row>
    <row r="360" spans="2:4" x14ac:dyDescent="0.2">
      <c r="B360" s="67" t="str">
        <f t="shared" si="5"/>
        <v/>
      </c>
      <c r="C360" s="67" t="str">
        <f>IF(ISERROR(VLOOKUP(SMALL('Error Check Table-Hidden'!B:B,ROW(C360)-3),ErrorCheckTable,3,FALSE)), "",(VLOOKUP(SMALL('Error Check Table-Hidden'!B:B,ROW(C360)-3),ErrorCheckTable,3,FALSE)))</f>
        <v/>
      </c>
      <c r="D360" s="59" t="str">
        <f>IF(ISERROR(VLOOKUP(SMALL('Error Check Table-Hidden'!B:B,ROW(C360)-3),ErrorCheckTable,4,FALSE)), "",(VLOOKUP(SMALL('Error Check Table-Hidden'!B:B,ROW(C360)-3),ErrorCheckTable,4,FALSE)))</f>
        <v/>
      </c>
    </row>
    <row r="361" spans="2:4" x14ac:dyDescent="0.2">
      <c r="B361" s="67" t="str">
        <f t="shared" si="5"/>
        <v/>
      </c>
      <c r="C361" s="67" t="str">
        <f>IF(ISERROR(VLOOKUP(SMALL('Error Check Table-Hidden'!B:B,ROW(C361)-3),ErrorCheckTable,3,FALSE)), "",(VLOOKUP(SMALL('Error Check Table-Hidden'!B:B,ROW(C361)-3),ErrorCheckTable,3,FALSE)))</f>
        <v/>
      </c>
      <c r="D361" s="59" t="str">
        <f>IF(ISERROR(VLOOKUP(SMALL('Error Check Table-Hidden'!B:B,ROW(C361)-3),ErrorCheckTable,4,FALSE)), "",(VLOOKUP(SMALL('Error Check Table-Hidden'!B:B,ROW(C361)-3),ErrorCheckTable,4,FALSE)))</f>
        <v/>
      </c>
    </row>
    <row r="362" spans="2:4" x14ac:dyDescent="0.2">
      <c r="B362" s="67" t="str">
        <f t="shared" si="5"/>
        <v/>
      </c>
      <c r="C362" s="67" t="str">
        <f>IF(ISERROR(VLOOKUP(SMALL('Error Check Table-Hidden'!B:B,ROW(C362)-3),ErrorCheckTable,3,FALSE)), "",(VLOOKUP(SMALL('Error Check Table-Hidden'!B:B,ROW(C362)-3),ErrorCheckTable,3,FALSE)))</f>
        <v/>
      </c>
      <c r="D362" s="59" t="str">
        <f>IF(ISERROR(VLOOKUP(SMALL('Error Check Table-Hidden'!B:B,ROW(C362)-3),ErrorCheckTable,4,FALSE)), "",(VLOOKUP(SMALL('Error Check Table-Hidden'!B:B,ROW(C362)-3),ErrorCheckTable,4,FALSE)))</f>
        <v/>
      </c>
    </row>
    <row r="363" spans="2:4" x14ac:dyDescent="0.2">
      <c r="B363" s="67" t="str">
        <f t="shared" si="5"/>
        <v/>
      </c>
      <c r="C363" s="67" t="str">
        <f>IF(ISERROR(VLOOKUP(SMALL('Error Check Table-Hidden'!B:B,ROW(C363)-3),ErrorCheckTable,3,FALSE)), "",(VLOOKUP(SMALL('Error Check Table-Hidden'!B:B,ROW(C363)-3),ErrorCheckTable,3,FALSE)))</f>
        <v/>
      </c>
      <c r="D363" s="59" t="str">
        <f>IF(ISERROR(VLOOKUP(SMALL('Error Check Table-Hidden'!B:B,ROW(C363)-3),ErrorCheckTable,4,FALSE)), "",(VLOOKUP(SMALL('Error Check Table-Hidden'!B:B,ROW(C363)-3),ErrorCheckTable,4,FALSE)))</f>
        <v/>
      </c>
    </row>
    <row r="364" spans="2:4" x14ac:dyDescent="0.2">
      <c r="B364" s="67" t="str">
        <f t="shared" si="5"/>
        <v/>
      </c>
      <c r="C364" s="67" t="str">
        <f>IF(ISERROR(VLOOKUP(SMALL('Error Check Table-Hidden'!B:B,ROW(C364)-3),ErrorCheckTable,3,FALSE)), "",(VLOOKUP(SMALL('Error Check Table-Hidden'!B:B,ROW(C364)-3),ErrorCheckTable,3,FALSE)))</f>
        <v/>
      </c>
      <c r="D364" s="59" t="str">
        <f>IF(ISERROR(VLOOKUP(SMALL('Error Check Table-Hidden'!B:B,ROW(C364)-3),ErrorCheckTable,4,FALSE)), "",(VLOOKUP(SMALL('Error Check Table-Hidden'!B:B,ROW(C364)-3),ErrorCheckTable,4,FALSE)))</f>
        <v/>
      </c>
    </row>
    <row r="365" spans="2:4" x14ac:dyDescent="0.2">
      <c r="B365" s="67" t="str">
        <f t="shared" si="5"/>
        <v/>
      </c>
      <c r="C365" s="67" t="str">
        <f>IF(ISERROR(VLOOKUP(SMALL('Error Check Table-Hidden'!B:B,ROW(C365)-3),ErrorCheckTable,3,FALSE)), "",(VLOOKUP(SMALL('Error Check Table-Hidden'!B:B,ROW(C365)-3),ErrorCheckTable,3,FALSE)))</f>
        <v/>
      </c>
      <c r="D365" s="59" t="str">
        <f>IF(ISERROR(VLOOKUP(SMALL('Error Check Table-Hidden'!B:B,ROW(C365)-3),ErrorCheckTable,4,FALSE)), "",(VLOOKUP(SMALL('Error Check Table-Hidden'!B:B,ROW(C365)-3),ErrorCheckTable,4,FALSE)))</f>
        <v/>
      </c>
    </row>
    <row r="366" spans="2:4" x14ac:dyDescent="0.2">
      <c r="B366" s="67" t="str">
        <f t="shared" ref="B366:B429" si="6">IF(C366&lt;&gt;"",B365+1,"")</f>
        <v/>
      </c>
      <c r="C366" s="67" t="str">
        <f>IF(ISERROR(VLOOKUP(SMALL('Error Check Table-Hidden'!B:B,ROW(C366)-3),ErrorCheckTable,3,FALSE)), "",(VLOOKUP(SMALL('Error Check Table-Hidden'!B:B,ROW(C366)-3),ErrorCheckTable,3,FALSE)))</f>
        <v/>
      </c>
      <c r="D366" s="59" t="str">
        <f>IF(ISERROR(VLOOKUP(SMALL('Error Check Table-Hidden'!B:B,ROW(C366)-3),ErrorCheckTable,4,FALSE)), "",(VLOOKUP(SMALL('Error Check Table-Hidden'!B:B,ROW(C366)-3),ErrorCheckTable,4,FALSE)))</f>
        <v/>
      </c>
    </row>
    <row r="367" spans="2:4" x14ac:dyDescent="0.2">
      <c r="B367" s="67" t="str">
        <f t="shared" si="6"/>
        <v/>
      </c>
      <c r="C367" s="67" t="str">
        <f>IF(ISERROR(VLOOKUP(SMALL('Error Check Table-Hidden'!B:B,ROW(C367)-3),ErrorCheckTable,3,FALSE)), "",(VLOOKUP(SMALL('Error Check Table-Hidden'!B:B,ROW(C367)-3),ErrorCheckTable,3,FALSE)))</f>
        <v/>
      </c>
      <c r="D367" s="59" t="str">
        <f>IF(ISERROR(VLOOKUP(SMALL('Error Check Table-Hidden'!B:B,ROW(C367)-3),ErrorCheckTable,4,FALSE)), "",(VLOOKUP(SMALL('Error Check Table-Hidden'!B:B,ROW(C367)-3),ErrorCheckTable,4,FALSE)))</f>
        <v/>
      </c>
    </row>
    <row r="368" spans="2:4" x14ac:dyDescent="0.2">
      <c r="B368" s="67" t="str">
        <f t="shared" si="6"/>
        <v/>
      </c>
      <c r="C368" s="67" t="str">
        <f>IF(ISERROR(VLOOKUP(SMALL('Error Check Table-Hidden'!B:B,ROW(C368)-3),ErrorCheckTable,3,FALSE)), "",(VLOOKUP(SMALL('Error Check Table-Hidden'!B:B,ROW(C368)-3),ErrorCheckTable,3,FALSE)))</f>
        <v/>
      </c>
      <c r="D368" s="59" t="str">
        <f>IF(ISERROR(VLOOKUP(SMALL('Error Check Table-Hidden'!B:B,ROW(C368)-3),ErrorCheckTable,4,FALSE)), "",(VLOOKUP(SMALL('Error Check Table-Hidden'!B:B,ROW(C368)-3),ErrorCheckTable,4,FALSE)))</f>
        <v/>
      </c>
    </row>
    <row r="369" spans="2:4" x14ac:dyDescent="0.2">
      <c r="B369" s="67" t="str">
        <f t="shared" si="6"/>
        <v/>
      </c>
      <c r="C369" s="67" t="str">
        <f>IF(ISERROR(VLOOKUP(SMALL('Error Check Table-Hidden'!B:B,ROW(C369)-3),ErrorCheckTable,3,FALSE)), "",(VLOOKUP(SMALL('Error Check Table-Hidden'!B:B,ROW(C369)-3),ErrorCheckTable,3,FALSE)))</f>
        <v/>
      </c>
      <c r="D369" s="59" t="str">
        <f>IF(ISERROR(VLOOKUP(SMALL('Error Check Table-Hidden'!B:B,ROW(C369)-3),ErrorCheckTable,4,FALSE)), "",(VLOOKUP(SMALL('Error Check Table-Hidden'!B:B,ROW(C369)-3),ErrorCheckTable,4,FALSE)))</f>
        <v/>
      </c>
    </row>
    <row r="370" spans="2:4" x14ac:dyDescent="0.2">
      <c r="B370" s="67" t="str">
        <f t="shared" si="6"/>
        <v/>
      </c>
      <c r="C370" s="67" t="str">
        <f>IF(ISERROR(VLOOKUP(SMALL('Error Check Table-Hidden'!B:B,ROW(C370)-3),ErrorCheckTable,3,FALSE)), "",(VLOOKUP(SMALL('Error Check Table-Hidden'!B:B,ROW(C370)-3),ErrorCheckTable,3,FALSE)))</f>
        <v/>
      </c>
      <c r="D370" s="59" t="str">
        <f>IF(ISERROR(VLOOKUP(SMALL('Error Check Table-Hidden'!B:B,ROW(C370)-3),ErrorCheckTable,4,FALSE)), "",(VLOOKUP(SMALL('Error Check Table-Hidden'!B:B,ROW(C370)-3),ErrorCheckTable,4,FALSE)))</f>
        <v/>
      </c>
    </row>
    <row r="371" spans="2:4" x14ac:dyDescent="0.2">
      <c r="B371" s="67" t="str">
        <f t="shared" si="6"/>
        <v/>
      </c>
      <c r="C371" s="67" t="str">
        <f>IF(ISERROR(VLOOKUP(SMALL('Error Check Table-Hidden'!B:B,ROW(C371)-3),ErrorCheckTable,3,FALSE)), "",(VLOOKUP(SMALL('Error Check Table-Hidden'!B:B,ROW(C371)-3),ErrorCheckTable,3,FALSE)))</f>
        <v/>
      </c>
      <c r="D371" s="59" t="str">
        <f>IF(ISERROR(VLOOKUP(SMALL('Error Check Table-Hidden'!B:B,ROW(C371)-3),ErrorCheckTable,4,FALSE)), "",(VLOOKUP(SMALL('Error Check Table-Hidden'!B:B,ROW(C371)-3),ErrorCheckTable,4,FALSE)))</f>
        <v/>
      </c>
    </row>
    <row r="372" spans="2:4" x14ac:dyDescent="0.2">
      <c r="B372" s="67" t="str">
        <f t="shared" si="6"/>
        <v/>
      </c>
      <c r="C372" s="67" t="str">
        <f>IF(ISERROR(VLOOKUP(SMALL('Error Check Table-Hidden'!B:B,ROW(C372)-3),ErrorCheckTable,3,FALSE)), "",(VLOOKUP(SMALL('Error Check Table-Hidden'!B:B,ROW(C372)-3),ErrorCheckTable,3,FALSE)))</f>
        <v/>
      </c>
      <c r="D372" s="59" t="str">
        <f>IF(ISERROR(VLOOKUP(SMALL('Error Check Table-Hidden'!B:B,ROW(C372)-3),ErrorCheckTable,4,FALSE)), "",(VLOOKUP(SMALL('Error Check Table-Hidden'!B:B,ROW(C372)-3),ErrorCheckTable,4,FALSE)))</f>
        <v/>
      </c>
    </row>
    <row r="373" spans="2:4" x14ac:dyDescent="0.2">
      <c r="B373" s="67" t="str">
        <f t="shared" si="6"/>
        <v/>
      </c>
      <c r="C373" s="67" t="str">
        <f>IF(ISERROR(VLOOKUP(SMALL('Error Check Table-Hidden'!B:B,ROW(C373)-3),ErrorCheckTable,3,FALSE)), "",(VLOOKUP(SMALL('Error Check Table-Hidden'!B:B,ROW(C373)-3),ErrorCheckTable,3,FALSE)))</f>
        <v/>
      </c>
      <c r="D373" s="59" t="str">
        <f>IF(ISERROR(VLOOKUP(SMALL('Error Check Table-Hidden'!B:B,ROW(C373)-3),ErrorCheckTable,4,FALSE)), "",(VLOOKUP(SMALL('Error Check Table-Hidden'!B:B,ROW(C373)-3),ErrorCheckTable,4,FALSE)))</f>
        <v/>
      </c>
    </row>
    <row r="374" spans="2:4" x14ac:dyDescent="0.2">
      <c r="B374" s="67" t="str">
        <f t="shared" si="6"/>
        <v/>
      </c>
      <c r="C374" s="67" t="str">
        <f>IF(ISERROR(VLOOKUP(SMALL('Error Check Table-Hidden'!B:B,ROW(C374)-3),ErrorCheckTable,3,FALSE)), "",(VLOOKUP(SMALL('Error Check Table-Hidden'!B:B,ROW(C374)-3),ErrorCheckTable,3,FALSE)))</f>
        <v/>
      </c>
      <c r="D374" s="59" t="str">
        <f>IF(ISERROR(VLOOKUP(SMALL('Error Check Table-Hidden'!B:B,ROW(C374)-3),ErrorCheckTable,4,FALSE)), "",(VLOOKUP(SMALL('Error Check Table-Hidden'!B:B,ROW(C374)-3),ErrorCheckTable,4,FALSE)))</f>
        <v/>
      </c>
    </row>
    <row r="375" spans="2:4" x14ac:dyDescent="0.2">
      <c r="B375" s="67" t="str">
        <f t="shared" si="6"/>
        <v/>
      </c>
      <c r="C375" s="67" t="str">
        <f>IF(ISERROR(VLOOKUP(SMALL('Error Check Table-Hidden'!B:B,ROW(C375)-3),ErrorCheckTable,3,FALSE)), "",(VLOOKUP(SMALL('Error Check Table-Hidden'!B:B,ROW(C375)-3),ErrorCheckTable,3,FALSE)))</f>
        <v/>
      </c>
      <c r="D375" s="59" t="str">
        <f>IF(ISERROR(VLOOKUP(SMALL('Error Check Table-Hidden'!B:B,ROW(C375)-3),ErrorCheckTable,4,FALSE)), "",(VLOOKUP(SMALL('Error Check Table-Hidden'!B:B,ROW(C375)-3),ErrorCheckTable,4,FALSE)))</f>
        <v/>
      </c>
    </row>
    <row r="376" spans="2:4" x14ac:dyDescent="0.2">
      <c r="B376" s="67" t="str">
        <f t="shared" si="6"/>
        <v/>
      </c>
      <c r="C376" s="67" t="str">
        <f>IF(ISERROR(VLOOKUP(SMALL('Error Check Table-Hidden'!B:B,ROW(C376)-3),ErrorCheckTable,3,FALSE)), "",(VLOOKUP(SMALL('Error Check Table-Hidden'!B:B,ROW(C376)-3),ErrorCheckTable,3,FALSE)))</f>
        <v/>
      </c>
      <c r="D376" s="59" t="str">
        <f>IF(ISERROR(VLOOKUP(SMALL('Error Check Table-Hidden'!B:B,ROW(C376)-3),ErrorCheckTable,4,FALSE)), "",(VLOOKUP(SMALL('Error Check Table-Hidden'!B:B,ROW(C376)-3),ErrorCheckTable,4,FALSE)))</f>
        <v/>
      </c>
    </row>
    <row r="377" spans="2:4" x14ac:dyDescent="0.2">
      <c r="B377" s="67" t="str">
        <f t="shared" si="6"/>
        <v/>
      </c>
      <c r="C377" s="67" t="str">
        <f>IF(ISERROR(VLOOKUP(SMALL('Error Check Table-Hidden'!B:B,ROW(C377)-3),ErrorCheckTable,3,FALSE)), "",(VLOOKUP(SMALL('Error Check Table-Hidden'!B:B,ROW(C377)-3),ErrorCheckTable,3,FALSE)))</f>
        <v/>
      </c>
      <c r="D377" s="59" t="str">
        <f>IF(ISERROR(VLOOKUP(SMALL('Error Check Table-Hidden'!B:B,ROW(C377)-3),ErrorCheckTable,4,FALSE)), "",(VLOOKUP(SMALL('Error Check Table-Hidden'!B:B,ROW(C377)-3),ErrorCheckTable,4,FALSE)))</f>
        <v/>
      </c>
    </row>
    <row r="378" spans="2:4" x14ac:dyDescent="0.2">
      <c r="B378" s="67" t="str">
        <f t="shared" si="6"/>
        <v/>
      </c>
      <c r="C378" s="67" t="str">
        <f>IF(ISERROR(VLOOKUP(SMALL('Error Check Table-Hidden'!B:B,ROW(C378)-3),ErrorCheckTable,3,FALSE)), "",(VLOOKUP(SMALL('Error Check Table-Hidden'!B:B,ROW(C378)-3),ErrorCheckTable,3,FALSE)))</f>
        <v/>
      </c>
      <c r="D378" s="59" t="str">
        <f>IF(ISERROR(VLOOKUP(SMALL('Error Check Table-Hidden'!B:B,ROW(C378)-3),ErrorCheckTable,4,FALSE)), "",(VLOOKUP(SMALL('Error Check Table-Hidden'!B:B,ROW(C378)-3),ErrorCheckTable,4,FALSE)))</f>
        <v/>
      </c>
    </row>
    <row r="379" spans="2:4" x14ac:dyDescent="0.2">
      <c r="B379" s="67" t="str">
        <f t="shared" si="6"/>
        <v/>
      </c>
      <c r="C379" s="67" t="str">
        <f>IF(ISERROR(VLOOKUP(SMALL('Error Check Table-Hidden'!B:B,ROW(C379)-3),ErrorCheckTable,3,FALSE)), "",(VLOOKUP(SMALL('Error Check Table-Hidden'!B:B,ROW(C379)-3),ErrorCheckTable,3,FALSE)))</f>
        <v/>
      </c>
      <c r="D379" s="59" t="str">
        <f>IF(ISERROR(VLOOKUP(SMALL('Error Check Table-Hidden'!B:B,ROW(C379)-3),ErrorCheckTable,4,FALSE)), "",(VLOOKUP(SMALL('Error Check Table-Hidden'!B:B,ROW(C379)-3),ErrorCheckTable,4,FALSE)))</f>
        <v/>
      </c>
    </row>
    <row r="380" spans="2:4" x14ac:dyDescent="0.2">
      <c r="B380" s="67" t="str">
        <f t="shared" si="6"/>
        <v/>
      </c>
      <c r="C380" s="67" t="str">
        <f>IF(ISERROR(VLOOKUP(SMALL('Error Check Table-Hidden'!B:B,ROW(C380)-3),ErrorCheckTable,3,FALSE)), "",(VLOOKUP(SMALL('Error Check Table-Hidden'!B:B,ROW(C380)-3),ErrorCheckTable,3,FALSE)))</f>
        <v/>
      </c>
      <c r="D380" s="59" t="str">
        <f>IF(ISERROR(VLOOKUP(SMALL('Error Check Table-Hidden'!B:B,ROW(C380)-3),ErrorCheckTable,4,FALSE)), "",(VLOOKUP(SMALL('Error Check Table-Hidden'!B:B,ROW(C380)-3),ErrorCheckTable,4,FALSE)))</f>
        <v/>
      </c>
    </row>
    <row r="381" spans="2:4" x14ac:dyDescent="0.2">
      <c r="B381" s="67" t="str">
        <f t="shared" si="6"/>
        <v/>
      </c>
      <c r="C381" s="67" t="str">
        <f>IF(ISERROR(VLOOKUP(SMALL('Error Check Table-Hidden'!B:B,ROW(C381)-3),ErrorCheckTable,3,FALSE)), "",(VLOOKUP(SMALL('Error Check Table-Hidden'!B:B,ROW(C381)-3),ErrorCheckTable,3,FALSE)))</f>
        <v/>
      </c>
      <c r="D381" s="59" t="str">
        <f>IF(ISERROR(VLOOKUP(SMALL('Error Check Table-Hidden'!B:B,ROW(C381)-3),ErrorCheckTable,4,FALSE)), "",(VLOOKUP(SMALL('Error Check Table-Hidden'!B:B,ROW(C381)-3),ErrorCheckTable,4,FALSE)))</f>
        <v/>
      </c>
    </row>
    <row r="382" spans="2:4" x14ac:dyDescent="0.2">
      <c r="B382" s="67" t="str">
        <f t="shared" si="6"/>
        <v/>
      </c>
      <c r="C382" s="67" t="str">
        <f>IF(ISERROR(VLOOKUP(SMALL('Error Check Table-Hidden'!B:B,ROW(C382)-3),ErrorCheckTable,3,FALSE)), "",(VLOOKUP(SMALL('Error Check Table-Hidden'!B:B,ROW(C382)-3),ErrorCheckTable,3,FALSE)))</f>
        <v/>
      </c>
      <c r="D382" s="59" t="str">
        <f>IF(ISERROR(VLOOKUP(SMALL('Error Check Table-Hidden'!B:B,ROW(C382)-3),ErrorCheckTable,4,FALSE)), "",(VLOOKUP(SMALL('Error Check Table-Hidden'!B:B,ROW(C382)-3),ErrorCheckTable,4,FALSE)))</f>
        <v/>
      </c>
    </row>
    <row r="383" spans="2:4" x14ac:dyDescent="0.2">
      <c r="B383" s="67" t="str">
        <f t="shared" si="6"/>
        <v/>
      </c>
      <c r="C383" s="67" t="str">
        <f>IF(ISERROR(VLOOKUP(SMALL('Error Check Table-Hidden'!B:B,ROW(C383)-3),ErrorCheckTable,3,FALSE)), "",(VLOOKUP(SMALL('Error Check Table-Hidden'!B:B,ROW(C383)-3),ErrorCheckTable,3,FALSE)))</f>
        <v/>
      </c>
      <c r="D383" s="59" t="str">
        <f>IF(ISERROR(VLOOKUP(SMALL('Error Check Table-Hidden'!B:B,ROW(C383)-3),ErrorCheckTable,4,FALSE)), "",(VLOOKUP(SMALL('Error Check Table-Hidden'!B:B,ROW(C383)-3),ErrorCheckTable,4,FALSE)))</f>
        <v/>
      </c>
    </row>
    <row r="384" spans="2:4" x14ac:dyDescent="0.2">
      <c r="B384" s="67" t="str">
        <f t="shared" si="6"/>
        <v/>
      </c>
      <c r="C384" s="67" t="str">
        <f>IF(ISERROR(VLOOKUP(SMALL('Error Check Table-Hidden'!B:B,ROW(C384)-3),ErrorCheckTable,3,FALSE)), "",(VLOOKUP(SMALL('Error Check Table-Hidden'!B:B,ROW(C384)-3),ErrorCheckTable,3,FALSE)))</f>
        <v/>
      </c>
      <c r="D384" s="59" t="str">
        <f>IF(ISERROR(VLOOKUP(SMALL('Error Check Table-Hidden'!B:B,ROW(C384)-3),ErrorCheckTable,4,FALSE)), "",(VLOOKUP(SMALL('Error Check Table-Hidden'!B:B,ROW(C384)-3),ErrorCheckTable,4,FALSE)))</f>
        <v/>
      </c>
    </row>
    <row r="385" spans="2:4" x14ac:dyDescent="0.2">
      <c r="B385" s="67" t="str">
        <f t="shared" si="6"/>
        <v/>
      </c>
      <c r="C385" s="67" t="str">
        <f>IF(ISERROR(VLOOKUP(SMALL('Error Check Table-Hidden'!B:B,ROW(C385)-3),ErrorCheckTable,3,FALSE)), "",(VLOOKUP(SMALL('Error Check Table-Hidden'!B:B,ROW(C385)-3),ErrorCheckTable,3,FALSE)))</f>
        <v/>
      </c>
      <c r="D385" s="59" t="str">
        <f>IF(ISERROR(VLOOKUP(SMALL('Error Check Table-Hidden'!B:B,ROW(C385)-3),ErrorCheckTable,4,FALSE)), "",(VLOOKUP(SMALL('Error Check Table-Hidden'!B:B,ROW(C385)-3),ErrorCheckTable,4,FALSE)))</f>
        <v/>
      </c>
    </row>
    <row r="386" spans="2:4" x14ac:dyDescent="0.2">
      <c r="B386" s="67" t="str">
        <f t="shared" si="6"/>
        <v/>
      </c>
      <c r="C386" s="67" t="str">
        <f>IF(ISERROR(VLOOKUP(SMALL('Error Check Table-Hidden'!B:B,ROW(C386)-3),ErrorCheckTable,3,FALSE)), "",(VLOOKUP(SMALL('Error Check Table-Hidden'!B:B,ROW(C386)-3),ErrorCheckTable,3,FALSE)))</f>
        <v/>
      </c>
      <c r="D386" s="59" t="str">
        <f>IF(ISERROR(VLOOKUP(SMALL('Error Check Table-Hidden'!B:B,ROW(C386)-3),ErrorCheckTable,4,FALSE)), "",(VLOOKUP(SMALL('Error Check Table-Hidden'!B:B,ROW(C386)-3),ErrorCheckTable,4,FALSE)))</f>
        <v/>
      </c>
    </row>
    <row r="387" spans="2:4" x14ac:dyDescent="0.2">
      <c r="B387" s="67" t="str">
        <f t="shared" si="6"/>
        <v/>
      </c>
      <c r="C387" s="67" t="str">
        <f>IF(ISERROR(VLOOKUP(SMALL('Error Check Table-Hidden'!B:B,ROW(C387)-3),ErrorCheckTable,3,FALSE)), "",(VLOOKUP(SMALL('Error Check Table-Hidden'!B:B,ROW(C387)-3),ErrorCheckTable,3,FALSE)))</f>
        <v/>
      </c>
      <c r="D387" s="59" t="str">
        <f>IF(ISERROR(VLOOKUP(SMALL('Error Check Table-Hidden'!B:B,ROW(C387)-3),ErrorCheckTable,4,FALSE)), "",(VLOOKUP(SMALL('Error Check Table-Hidden'!B:B,ROW(C387)-3),ErrorCheckTable,4,FALSE)))</f>
        <v/>
      </c>
    </row>
    <row r="388" spans="2:4" x14ac:dyDescent="0.2">
      <c r="B388" s="67" t="str">
        <f t="shared" si="6"/>
        <v/>
      </c>
      <c r="C388" s="67" t="str">
        <f>IF(ISERROR(VLOOKUP(SMALL('Error Check Table-Hidden'!B:B,ROW(C388)-3),ErrorCheckTable,3,FALSE)), "",(VLOOKUP(SMALL('Error Check Table-Hidden'!B:B,ROW(C388)-3),ErrorCheckTable,3,FALSE)))</f>
        <v/>
      </c>
      <c r="D388" s="59" t="str">
        <f>IF(ISERROR(VLOOKUP(SMALL('Error Check Table-Hidden'!B:B,ROW(C388)-3),ErrorCheckTable,4,FALSE)), "",(VLOOKUP(SMALL('Error Check Table-Hidden'!B:B,ROW(C388)-3),ErrorCheckTable,4,FALSE)))</f>
        <v/>
      </c>
    </row>
    <row r="389" spans="2:4" x14ac:dyDescent="0.2">
      <c r="B389" s="67" t="str">
        <f t="shared" si="6"/>
        <v/>
      </c>
      <c r="C389" s="67" t="str">
        <f>IF(ISERROR(VLOOKUP(SMALL('Error Check Table-Hidden'!B:B,ROW(C389)-3),ErrorCheckTable,3,FALSE)), "",(VLOOKUP(SMALL('Error Check Table-Hidden'!B:B,ROW(C389)-3),ErrorCheckTable,3,FALSE)))</f>
        <v/>
      </c>
      <c r="D389" s="59" t="str">
        <f>IF(ISERROR(VLOOKUP(SMALL('Error Check Table-Hidden'!B:B,ROW(C389)-3),ErrorCheckTable,4,FALSE)), "",(VLOOKUP(SMALL('Error Check Table-Hidden'!B:B,ROW(C389)-3),ErrorCheckTable,4,FALSE)))</f>
        <v/>
      </c>
    </row>
    <row r="390" spans="2:4" x14ac:dyDescent="0.2">
      <c r="B390" s="67" t="str">
        <f t="shared" si="6"/>
        <v/>
      </c>
      <c r="C390" s="67" t="str">
        <f>IF(ISERROR(VLOOKUP(SMALL('Error Check Table-Hidden'!B:B,ROW(C390)-3),ErrorCheckTable,3,FALSE)), "",(VLOOKUP(SMALL('Error Check Table-Hidden'!B:B,ROW(C390)-3),ErrorCheckTable,3,FALSE)))</f>
        <v/>
      </c>
      <c r="D390" s="59" t="str">
        <f>IF(ISERROR(VLOOKUP(SMALL('Error Check Table-Hidden'!B:B,ROW(C390)-3),ErrorCheckTable,4,FALSE)), "",(VLOOKUP(SMALL('Error Check Table-Hidden'!B:B,ROW(C390)-3),ErrorCheckTable,4,FALSE)))</f>
        <v/>
      </c>
    </row>
    <row r="391" spans="2:4" x14ac:dyDescent="0.2">
      <c r="B391" s="67" t="str">
        <f t="shared" si="6"/>
        <v/>
      </c>
      <c r="C391" s="67" t="str">
        <f>IF(ISERROR(VLOOKUP(SMALL('Error Check Table-Hidden'!B:B,ROW(C391)-3),ErrorCheckTable,3,FALSE)), "",(VLOOKUP(SMALL('Error Check Table-Hidden'!B:B,ROW(C391)-3),ErrorCheckTable,3,FALSE)))</f>
        <v/>
      </c>
      <c r="D391" s="59" t="str">
        <f>IF(ISERROR(VLOOKUP(SMALL('Error Check Table-Hidden'!B:B,ROW(C391)-3),ErrorCheckTable,4,FALSE)), "",(VLOOKUP(SMALL('Error Check Table-Hidden'!B:B,ROW(C391)-3),ErrorCheckTable,4,FALSE)))</f>
        <v/>
      </c>
    </row>
    <row r="392" spans="2:4" x14ac:dyDescent="0.2">
      <c r="B392" s="67" t="str">
        <f t="shared" si="6"/>
        <v/>
      </c>
      <c r="C392" s="67" t="str">
        <f>IF(ISERROR(VLOOKUP(SMALL('Error Check Table-Hidden'!B:B,ROW(C392)-3),ErrorCheckTable,3,FALSE)), "",(VLOOKUP(SMALL('Error Check Table-Hidden'!B:B,ROW(C392)-3),ErrorCheckTable,3,FALSE)))</f>
        <v/>
      </c>
      <c r="D392" s="59" t="str">
        <f>IF(ISERROR(VLOOKUP(SMALL('Error Check Table-Hidden'!B:B,ROW(C392)-3),ErrorCheckTable,4,FALSE)), "",(VLOOKUP(SMALL('Error Check Table-Hidden'!B:B,ROW(C392)-3),ErrorCheckTable,4,FALSE)))</f>
        <v/>
      </c>
    </row>
    <row r="393" spans="2:4" x14ac:dyDescent="0.2">
      <c r="B393" s="67" t="str">
        <f t="shared" si="6"/>
        <v/>
      </c>
      <c r="C393" s="67" t="str">
        <f>IF(ISERROR(VLOOKUP(SMALL('Error Check Table-Hidden'!B:B,ROW(C393)-3),ErrorCheckTable,3,FALSE)), "",(VLOOKUP(SMALL('Error Check Table-Hidden'!B:B,ROW(C393)-3),ErrorCheckTable,3,FALSE)))</f>
        <v/>
      </c>
      <c r="D393" s="59" t="str">
        <f>IF(ISERROR(VLOOKUP(SMALL('Error Check Table-Hidden'!B:B,ROW(C393)-3),ErrorCheckTable,4,FALSE)), "",(VLOOKUP(SMALL('Error Check Table-Hidden'!B:B,ROW(C393)-3),ErrorCheckTable,4,FALSE)))</f>
        <v/>
      </c>
    </row>
    <row r="394" spans="2:4" x14ac:dyDescent="0.2">
      <c r="B394" s="67" t="str">
        <f t="shared" si="6"/>
        <v/>
      </c>
      <c r="C394" s="67" t="str">
        <f>IF(ISERROR(VLOOKUP(SMALL('Error Check Table-Hidden'!B:B,ROW(C394)-3),ErrorCheckTable,3,FALSE)), "",(VLOOKUP(SMALL('Error Check Table-Hidden'!B:B,ROW(C394)-3),ErrorCheckTable,3,FALSE)))</f>
        <v/>
      </c>
      <c r="D394" s="59" t="str">
        <f>IF(ISERROR(VLOOKUP(SMALL('Error Check Table-Hidden'!B:B,ROW(C394)-3),ErrorCheckTable,4,FALSE)), "",(VLOOKUP(SMALL('Error Check Table-Hidden'!B:B,ROW(C394)-3),ErrorCheckTable,4,FALSE)))</f>
        <v/>
      </c>
    </row>
    <row r="395" spans="2:4" x14ac:dyDescent="0.2">
      <c r="B395" s="67" t="str">
        <f t="shared" si="6"/>
        <v/>
      </c>
      <c r="C395" s="67" t="str">
        <f>IF(ISERROR(VLOOKUP(SMALL('Error Check Table-Hidden'!B:B,ROW(C395)-3),ErrorCheckTable,3,FALSE)), "",(VLOOKUP(SMALL('Error Check Table-Hidden'!B:B,ROW(C395)-3),ErrorCheckTable,3,FALSE)))</f>
        <v/>
      </c>
      <c r="D395" s="59" t="str">
        <f>IF(ISERROR(VLOOKUP(SMALL('Error Check Table-Hidden'!B:B,ROW(C395)-3),ErrorCheckTable,4,FALSE)), "",(VLOOKUP(SMALL('Error Check Table-Hidden'!B:B,ROW(C395)-3),ErrorCheckTable,4,FALSE)))</f>
        <v/>
      </c>
    </row>
    <row r="396" spans="2:4" x14ac:dyDescent="0.2">
      <c r="B396" s="67" t="str">
        <f t="shared" si="6"/>
        <v/>
      </c>
      <c r="C396" s="67" t="str">
        <f>IF(ISERROR(VLOOKUP(SMALL('Error Check Table-Hidden'!B:B,ROW(C396)-3),ErrorCheckTable,3,FALSE)), "",(VLOOKUP(SMALL('Error Check Table-Hidden'!B:B,ROW(C396)-3),ErrorCheckTable,3,FALSE)))</f>
        <v/>
      </c>
      <c r="D396" s="59" t="str">
        <f>IF(ISERROR(VLOOKUP(SMALL('Error Check Table-Hidden'!B:B,ROW(C396)-3),ErrorCheckTable,4,FALSE)), "",(VLOOKUP(SMALL('Error Check Table-Hidden'!B:B,ROW(C396)-3),ErrorCheckTable,4,FALSE)))</f>
        <v/>
      </c>
    </row>
    <row r="397" spans="2:4" x14ac:dyDescent="0.2">
      <c r="B397" s="67" t="str">
        <f t="shared" si="6"/>
        <v/>
      </c>
      <c r="C397" s="67" t="str">
        <f>IF(ISERROR(VLOOKUP(SMALL('Error Check Table-Hidden'!B:B,ROW(C397)-3),ErrorCheckTable,3,FALSE)), "",(VLOOKUP(SMALL('Error Check Table-Hidden'!B:B,ROW(C397)-3),ErrorCheckTable,3,FALSE)))</f>
        <v/>
      </c>
      <c r="D397" s="59" t="str">
        <f>IF(ISERROR(VLOOKUP(SMALL('Error Check Table-Hidden'!B:B,ROW(C397)-3),ErrorCheckTable,4,FALSE)), "",(VLOOKUP(SMALL('Error Check Table-Hidden'!B:B,ROW(C397)-3),ErrorCheckTable,4,FALSE)))</f>
        <v/>
      </c>
    </row>
    <row r="398" spans="2:4" x14ac:dyDescent="0.2">
      <c r="B398" s="67" t="str">
        <f t="shared" si="6"/>
        <v/>
      </c>
      <c r="C398" s="67" t="str">
        <f>IF(ISERROR(VLOOKUP(SMALL('Error Check Table-Hidden'!B:B,ROW(C398)-3),ErrorCheckTable,3,FALSE)), "",(VLOOKUP(SMALL('Error Check Table-Hidden'!B:B,ROW(C398)-3),ErrorCheckTable,3,FALSE)))</f>
        <v/>
      </c>
      <c r="D398" s="59" t="str">
        <f>IF(ISERROR(VLOOKUP(SMALL('Error Check Table-Hidden'!B:B,ROW(C398)-3),ErrorCheckTable,4,FALSE)), "",(VLOOKUP(SMALL('Error Check Table-Hidden'!B:B,ROW(C398)-3),ErrorCheckTable,4,FALSE)))</f>
        <v/>
      </c>
    </row>
    <row r="399" spans="2:4" x14ac:dyDescent="0.2">
      <c r="B399" s="67" t="str">
        <f t="shared" si="6"/>
        <v/>
      </c>
      <c r="C399" s="67" t="str">
        <f>IF(ISERROR(VLOOKUP(SMALL('Error Check Table-Hidden'!B:B,ROW(C399)-3),ErrorCheckTable,3,FALSE)), "",(VLOOKUP(SMALL('Error Check Table-Hidden'!B:B,ROW(C399)-3),ErrorCheckTable,3,FALSE)))</f>
        <v/>
      </c>
      <c r="D399" s="59" t="str">
        <f>IF(ISERROR(VLOOKUP(SMALL('Error Check Table-Hidden'!B:B,ROW(C399)-3),ErrorCheckTable,4,FALSE)), "",(VLOOKUP(SMALL('Error Check Table-Hidden'!B:B,ROW(C399)-3),ErrorCheckTable,4,FALSE)))</f>
        <v/>
      </c>
    </row>
    <row r="400" spans="2:4" x14ac:dyDescent="0.2">
      <c r="B400" s="67" t="str">
        <f t="shared" si="6"/>
        <v/>
      </c>
      <c r="C400" s="67" t="str">
        <f>IF(ISERROR(VLOOKUP(SMALL('Error Check Table-Hidden'!B:B,ROW(C400)-3),ErrorCheckTable,3,FALSE)), "",(VLOOKUP(SMALL('Error Check Table-Hidden'!B:B,ROW(C400)-3),ErrorCheckTable,3,FALSE)))</f>
        <v/>
      </c>
      <c r="D400" s="59" t="str">
        <f>IF(ISERROR(VLOOKUP(SMALL('Error Check Table-Hidden'!B:B,ROW(C400)-3),ErrorCheckTable,4,FALSE)), "",(VLOOKUP(SMALL('Error Check Table-Hidden'!B:B,ROW(C400)-3),ErrorCheckTable,4,FALSE)))</f>
        <v/>
      </c>
    </row>
    <row r="401" spans="2:4" x14ac:dyDescent="0.2">
      <c r="B401" s="67" t="str">
        <f t="shared" si="6"/>
        <v/>
      </c>
      <c r="C401" s="67" t="str">
        <f>IF(ISERROR(VLOOKUP(SMALL('Error Check Table-Hidden'!B:B,ROW(C401)-3),ErrorCheckTable,3,FALSE)), "",(VLOOKUP(SMALL('Error Check Table-Hidden'!B:B,ROW(C401)-3),ErrorCheckTable,3,FALSE)))</f>
        <v/>
      </c>
      <c r="D401" s="59" t="str">
        <f>IF(ISERROR(VLOOKUP(SMALL('Error Check Table-Hidden'!B:B,ROW(C401)-3),ErrorCheckTable,4,FALSE)), "",(VLOOKUP(SMALL('Error Check Table-Hidden'!B:B,ROW(C401)-3),ErrorCheckTable,4,FALSE)))</f>
        <v/>
      </c>
    </row>
    <row r="402" spans="2:4" x14ac:dyDescent="0.2">
      <c r="B402" s="67" t="str">
        <f t="shared" si="6"/>
        <v/>
      </c>
      <c r="C402" s="67" t="str">
        <f>IF(ISERROR(VLOOKUP(SMALL('Error Check Table-Hidden'!B:B,ROW(C402)-3),ErrorCheckTable,3,FALSE)), "",(VLOOKUP(SMALL('Error Check Table-Hidden'!B:B,ROW(C402)-3),ErrorCheckTable,3,FALSE)))</f>
        <v/>
      </c>
      <c r="D402" s="59" t="str">
        <f>IF(ISERROR(VLOOKUP(SMALL('Error Check Table-Hidden'!B:B,ROW(C402)-3),ErrorCheckTable,4,FALSE)), "",(VLOOKUP(SMALL('Error Check Table-Hidden'!B:B,ROW(C402)-3),ErrorCheckTable,4,FALSE)))</f>
        <v/>
      </c>
    </row>
    <row r="403" spans="2:4" x14ac:dyDescent="0.2">
      <c r="B403" s="67" t="str">
        <f t="shared" si="6"/>
        <v/>
      </c>
      <c r="C403" s="67" t="str">
        <f>IF(ISERROR(VLOOKUP(SMALL('Error Check Table-Hidden'!B:B,ROW(C403)-3),ErrorCheckTable,3,FALSE)), "",(VLOOKUP(SMALL('Error Check Table-Hidden'!B:B,ROW(C403)-3),ErrorCheckTable,3,FALSE)))</f>
        <v/>
      </c>
      <c r="D403" s="59" t="str">
        <f>IF(ISERROR(VLOOKUP(SMALL('Error Check Table-Hidden'!B:B,ROW(C403)-3),ErrorCheckTable,4,FALSE)), "",(VLOOKUP(SMALL('Error Check Table-Hidden'!B:B,ROW(C403)-3),ErrorCheckTable,4,FALSE)))</f>
        <v/>
      </c>
    </row>
    <row r="404" spans="2:4" x14ac:dyDescent="0.2">
      <c r="B404" s="67" t="str">
        <f t="shared" si="6"/>
        <v/>
      </c>
      <c r="C404" s="67" t="str">
        <f>IF(ISERROR(VLOOKUP(SMALL('Error Check Table-Hidden'!B:B,ROW(C404)-3),ErrorCheckTable,3,FALSE)), "",(VLOOKUP(SMALL('Error Check Table-Hidden'!B:B,ROW(C404)-3),ErrorCheckTable,3,FALSE)))</f>
        <v/>
      </c>
      <c r="D404" s="59" t="str">
        <f>IF(ISERROR(VLOOKUP(SMALL('Error Check Table-Hidden'!B:B,ROW(C404)-3),ErrorCheckTable,4,FALSE)), "",(VLOOKUP(SMALL('Error Check Table-Hidden'!B:B,ROW(C404)-3),ErrorCheckTable,4,FALSE)))</f>
        <v/>
      </c>
    </row>
    <row r="405" spans="2:4" x14ac:dyDescent="0.2">
      <c r="B405" s="67" t="str">
        <f t="shared" si="6"/>
        <v/>
      </c>
      <c r="C405" s="67" t="str">
        <f>IF(ISERROR(VLOOKUP(SMALL('Error Check Table-Hidden'!B:B,ROW(C405)-3),ErrorCheckTable,3,FALSE)), "",(VLOOKUP(SMALL('Error Check Table-Hidden'!B:B,ROW(C405)-3),ErrorCheckTable,3,FALSE)))</f>
        <v/>
      </c>
      <c r="D405" s="59" t="str">
        <f>IF(ISERROR(VLOOKUP(SMALL('Error Check Table-Hidden'!B:B,ROW(C405)-3),ErrorCheckTable,4,FALSE)), "",(VLOOKUP(SMALL('Error Check Table-Hidden'!B:B,ROW(C405)-3),ErrorCheckTable,4,FALSE)))</f>
        <v/>
      </c>
    </row>
    <row r="406" spans="2:4" x14ac:dyDescent="0.2">
      <c r="B406" s="67" t="str">
        <f t="shared" si="6"/>
        <v/>
      </c>
      <c r="C406" s="67" t="str">
        <f>IF(ISERROR(VLOOKUP(SMALL('Error Check Table-Hidden'!B:B,ROW(C406)-3),ErrorCheckTable,3,FALSE)), "",(VLOOKUP(SMALL('Error Check Table-Hidden'!B:B,ROW(C406)-3),ErrorCheckTable,3,FALSE)))</f>
        <v/>
      </c>
      <c r="D406" s="59" t="str">
        <f>IF(ISERROR(VLOOKUP(SMALL('Error Check Table-Hidden'!B:B,ROW(C406)-3),ErrorCheckTable,4,FALSE)), "",(VLOOKUP(SMALL('Error Check Table-Hidden'!B:B,ROW(C406)-3),ErrorCheckTable,4,FALSE)))</f>
        <v/>
      </c>
    </row>
    <row r="407" spans="2:4" x14ac:dyDescent="0.2">
      <c r="B407" s="67" t="str">
        <f t="shared" si="6"/>
        <v/>
      </c>
      <c r="C407" s="67" t="str">
        <f>IF(ISERROR(VLOOKUP(SMALL('Error Check Table-Hidden'!B:B,ROW(C407)-3),ErrorCheckTable,3,FALSE)), "",(VLOOKUP(SMALL('Error Check Table-Hidden'!B:B,ROW(C407)-3),ErrorCheckTable,3,FALSE)))</f>
        <v/>
      </c>
      <c r="D407" s="59" t="str">
        <f>IF(ISERROR(VLOOKUP(SMALL('Error Check Table-Hidden'!B:B,ROW(C407)-3),ErrorCheckTable,4,FALSE)), "",(VLOOKUP(SMALL('Error Check Table-Hidden'!B:B,ROW(C407)-3),ErrorCheckTable,4,FALSE)))</f>
        <v/>
      </c>
    </row>
    <row r="408" spans="2:4" x14ac:dyDescent="0.2">
      <c r="B408" s="67" t="str">
        <f t="shared" si="6"/>
        <v/>
      </c>
      <c r="C408" s="67" t="str">
        <f>IF(ISERROR(VLOOKUP(SMALL('Error Check Table-Hidden'!B:B,ROW(C408)-3),ErrorCheckTable,3,FALSE)), "",(VLOOKUP(SMALL('Error Check Table-Hidden'!B:B,ROW(C408)-3),ErrorCheckTable,3,FALSE)))</f>
        <v/>
      </c>
      <c r="D408" s="59" t="str">
        <f>IF(ISERROR(VLOOKUP(SMALL('Error Check Table-Hidden'!B:B,ROW(C408)-3),ErrorCheckTable,4,FALSE)), "",(VLOOKUP(SMALL('Error Check Table-Hidden'!B:B,ROW(C408)-3),ErrorCheckTable,4,FALSE)))</f>
        <v/>
      </c>
    </row>
    <row r="409" spans="2:4" x14ac:dyDescent="0.2">
      <c r="B409" s="67" t="str">
        <f t="shared" si="6"/>
        <v/>
      </c>
      <c r="C409" s="67" t="str">
        <f>IF(ISERROR(VLOOKUP(SMALL('Error Check Table-Hidden'!B:B,ROW(C409)-3),ErrorCheckTable,3,FALSE)), "",(VLOOKUP(SMALL('Error Check Table-Hidden'!B:B,ROW(C409)-3),ErrorCheckTable,3,FALSE)))</f>
        <v/>
      </c>
      <c r="D409" s="59" t="str">
        <f>IF(ISERROR(VLOOKUP(SMALL('Error Check Table-Hidden'!B:B,ROW(C409)-3),ErrorCheckTable,4,FALSE)), "",(VLOOKUP(SMALL('Error Check Table-Hidden'!B:B,ROW(C409)-3),ErrorCheckTable,4,FALSE)))</f>
        <v/>
      </c>
    </row>
    <row r="410" spans="2:4" x14ac:dyDescent="0.2">
      <c r="B410" s="67" t="str">
        <f t="shared" si="6"/>
        <v/>
      </c>
      <c r="C410" s="67" t="str">
        <f>IF(ISERROR(VLOOKUP(SMALL('Error Check Table-Hidden'!B:B,ROW(C410)-3),ErrorCheckTable,3,FALSE)), "",(VLOOKUP(SMALL('Error Check Table-Hidden'!B:B,ROW(C410)-3),ErrorCheckTable,3,FALSE)))</f>
        <v/>
      </c>
      <c r="D410" s="59" t="str">
        <f>IF(ISERROR(VLOOKUP(SMALL('Error Check Table-Hidden'!B:B,ROW(C410)-3),ErrorCheckTable,4,FALSE)), "",(VLOOKUP(SMALL('Error Check Table-Hidden'!B:B,ROW(C410)-3),ErrorCheckTable,4,FALSE)))</f>
        <v/>
      </c>
    </row>
    <row r="411" spans="2:4" x14ac:dyDescent="0.2">
      <c r="B411" s="67" t="str">
        <f t="shared" si="6"/>
        <v/>
      </c>
      <c r="C411" s="67" t="str">
        <f>IF(ISERROR(VLOOKUP(SMALL('Error Check Table-Hidden'!B:B,ROW(C411)-3),ErrorCheckTable,3,FALSE)), "",(VLOOKUP(SMALL('Error Check Table-Hidden'!B:B,ROW(C411)-3),ErrorCheckTable,3,FALSE)))</f>
        <v/>
      </c>
      <c r="D411" s="59" t="str">
        <f>IF(ISERROR(VLOOKUP(SMALL('Error Check Table-Hidden'!B:B,ROW(C411)-3),ErrorCheckTable,4,FALSE)), "",(VLOOKUP(SMALL('Error Check Table-Hidden'!B:B,ROW(C411)-3),ErrorCheckTable,4,FALSE)))</f>
        <v/>
      </c>
    </row>
    <row r="412" spans="2:4" x14ac:dyDescent="0.2">
      <c r="B412" s="67" t="str">
        <f t="shared" si="6"/>
        <v/>
      </c>
      <c r="C412" s="67" t="str">
        <f>IF(ISERROR(VLOOKUP(SMALL('Error Check Table-Hidden'!B:B,ROW(C412)-3),ErrorCheckTable,3,FALSE)), "",(VLOOKUP(SMALL('Error Check Table-Hidden'!B:B,ROW(C412)-3),ErrorCheckTable,3,FALSE)))</f>
        <v/>
      </c>
      <c r="D412" s="59" t="str">
        <f>IF(ISERROR(VLOOKUP(SMALL('Error Check Table-Hidden'!B:B,ROW(C412)-3),ErrorCheckTable,4,FALSE)), "",(VLOOKUP(SMALL('Error Check Table-Hidden'!B:B,ROW(C412)-3),ErrorCheckTable,4,FALSE)))</f>
        <v/>
      </c>
    </row>
    <row r="413" spans="2:4" x14ac:dyDescent="0.2">
      <c r="B413" s="67" t="str">
        <f t="shared" si="6"/>
        <v/>
      </c>
      <c r="C413" s="67" t="str">
        <f>IF(ISERROR(VLOOKUP(SMALL('Error Check Table-Hidden'!B:B,ROW(C413)-3),ErrorCheckTable,3,FALSE)), "",(VLOOKUP(SMALL('Error Check Table-Hidden'!B:B,ROW(C413)-3),ErrorCheckTable,3,FALSE)))</f>
        <v/>
      </c>
      <c r="D413" s="59" t="str">
        <f>IF(ISERROR(VLOOKUP(SMALL('Error Check Table-Hidden'!B:B,ROW(C413)-3),ErrorCheckTable,4,FALSE)), "",(VLOOKUP(SMALL('Error Check Table-Hidden'!B:B,ROW(C413)-3),ErrorCheckTable,4,FALSE)))</f>
        <v/>
      </c>
    </row>
    <row r="414" spans="2:4" x14ac:dyDescent="0.2">
      <c r="B414" s="67" t="str">
        <f t="shared" si="6"/>
        <v/>
      </c>
      <c r="C414" s="67" t="str">
        <f>IF(ISERROR(VLOOKUP(SMALL('Error Check Table-Hidden'!B:B,ROW(C414)-3),ErrorCheckTable,3,FALSE)), "",(VLOOKUP(SMALL('Error Check Table-Hidden'!B:B,ROW(C414)-3),ErrorCheckTable,3,FALSE)))</f>
        <v/>
      </c>
      <c r="D414" s="59" t="str">
        <f>IF(ISERROR(VLOOKUP(SMALL('Error Check Table-Hidden'!B:B,ROW(C414)-3),ErrorCheckTable,4,FALSE)), "",(VLOOKUP(SMALL('Error Check Table-Hidden'!B:B,ROW(C414)-3),ErrorCheckTable,4,FALSE)))</f>
        <v/>
      </c>
    </row>
    <row r="415" spans="2:4" x14ac:dyDescent="0.2">
      <c r="B415" s="67" t="str">
        <f t="shared" si="6"/>
        <v/>
      </c>
      <c r="C415" s="67" t="str">
        <f>IF(ISERROR(VLOOKUP(SMALL('Error Check Table-Hidden'!B:B,ROW(C415)-3),ErrorCheckTable,3,FALSE)), "",(VLOOKUP(SMALL('Error Check Table-Hidden'!B:B,ROW(C415)-3),ErrorCheckTable,3,FALSE)))</f>
        <v/>
      </c>
      <c r="D415" s="59" t="str">
        <f>IF(ISERROR(VLOOKUP(SMALL('Error Check Table-Hidden'!B:B,ROW(C415)-3),ErrorCheckTable,4,FALSE)), "",(VLOOKUP(SMALL('Error Check Table-Hidden'!B:B,ROW(C415)-3),ErrorCheckTable,4,FALSE)))</f>
        <v/>
      </c>
    </row>
    <row r="416" spans="2:4" x14ac:dyDescent="0.2">
      <c r="B416" s="67" t="str">
        <f t="shared" si="6"/>
        <v/>
      </c>
      <c r="C416" s="67" t="str">
        <f>IF(ISERROR(VLOOKUP(SMALL('Error Check Table-Hidden'!B:B,ROW(C416)-3),ErrorCheckTable,3,FALSE)), "",(VLOOKUP(SMALL('Error Check Table-Hidden'!B:B,ROW(C416)-3),ErrorCheckTable,3,FALSE)))</f>
        <v/>
      </c>
      <c r="D416" s="59" t="str">
        <f>IF(ISERROR(VLOOKUP(SMALL('Error Check Table-Hidden'!B:B,ROW(C416)-3),ErrorCheckTable,4,FALSE)), "",(VLOOKUP(SMALL('Error Check Table-Hidden'!B:B,ROW(C416)-3),ErrorCheckTable,4,FALSE)))</f>
        <v/>
      </c>
    </row>
    <row r="417" spans="2:4" x14ac:dyDescent="0.2">
      <c r="B417" s="67" t="str">
        <f t="shared" si="6"/>
        <v/>
      </c>
      <c r="C417" s="67" t="str">
        <f>IF(ISERROR(VLOOKUP(SMALL('Error Check Table-Hidden'!B:B,ROW(C417)-3),ErrorCheckTable,3,FALSE)), "",(VLOOKUP(SMALL('Error Check Table-Hidden'!B:B,ROW(C417)-3),ErrorCheckTable,3,FALSE)))</f>
        <v/>
      </c>
      <c r="D417" s="59" t="str">
        <f>IF(ISERROR(VLOOKUP(SMALL('Error Check Table-Hidden'!B:B,ROW(C417)-3),ErrorCheckTable,4,FALSE)), "",(VLOOKUP(SMALL('Error Check Table-Hidden'!B:B,ROW(C417)-3),ErrorCheckTable,4,FALSE)))</f>
        <v/>
      </c>
    </row>
    <row r="418" spans="2:4" x14ac:dyDescent="0.2">
      <c r="B418" s="67" t="str">
        <f t="shared" si="6"/>
        <v/>
      </c>
      <c r="C418" s="67" t="str">
        <f>IF(ISERROR(VLOOKUP(SMALL('Error Check Table-Hidden'!B:B,ROW(C418)-3),ErrorCheckTable,3,FALSE)), "",(VLOOKUP(SMALL('Error Check Table-Hidden'!B:B,ROW(C418)-3),ErrorCheckTable,3,FALSE)))</f>
        <v/>
      </c>
      <c r="D418" s="59" t="str">
        <f>IF(ISERROR(VLOOKUP(SMALL('Error Check Table-Hidden'!B:B,ROW(C418)-3),ErrorCheckTable,4,FALSE)), "",(VLOOKUP(SMALL('Error Check Table-Hidden'!B:B,ROW(C418)-3),ErrorCheckTable,4,FALSE)))</f>
        <v/>
      </c>
    </row>
    <row r="419" spans="2:4" x14ac:dyDescent="0.2">
      <c r="B419" s="67" t="str">
        <f t="shared" si="6"/>
        <v/>
      </c>
      <c r="C419" s="67" t="str">
        <f>IF(ISERROR(VLOOKUP(SMALL('Error Check Table-Hidden'!B:B,ROW(C419)-3),ErrorCheckTable,3,FALSE)), "",(VLOOKUP(SMALL('Error Check Table-Hidden'!B:B,ROW(C419)-3),ErrorCheckTable,3,FALSE)))</f>
        <v/>
      </c>
      <c r="D419" s="59" t="str">
        <f>IF(ISERROR(VLOOKUP(SMALL('Error Check Table-Hidden'!B:B,ROW(C419)-3),ErrorCheckTable,4,FALSE)), "",(VLOOKUP(SMALL('Error Check Table-Hidden'!B:B,ROW(C419)-3),ErrorCheckTable,4,FALSE)))</f>
        <v/>
      </c>
    </row>
    <row r="420" spans="2:4" x14ac:dyDescent="0.2">
      <c r="B420" s="67" t="str">
        <f t="shared" si="6"/>
        <v/>
      </c>
      <c r="C420" s="67" t="str">
        <f>IF(ISERROR(VLOOKUP(SMALL('Error Check Table-Hidden'!B:B,ROW(C420)-3),ErrorCheckTable,3,FALSE)), "",(VLOOKUP(SMALL('Error Check Table-Hidden'!B:B,ROW(C420)-3),ErrorCheckTable,3,FALSE)))</f>
        <v/>
      </c>
      <c r="D420" s="59" t="str">
        <f>IF(ISERROR(VLOOKUP(SMALL('Error Check Table-Hidden'!B:B,ROW(C420)-3),ErrorCheckTable,4,FALSE)), "",(VLOOKUP(SMALL('Error Check Table-Hidden'!B:B,ROW(C420)-3),ErrorCheckTable,4,FALSE)))</f>
        <v/>
      </c>
    </row>
    <row r="421" spans="2:4" x14ac:dyDescent="0.2">
      <c r="B421" s="67" t="str">
        <f t="shared" si="6"/>
        <v/>
      </c>
      <c r="C421" s="67" t="str">
        <f>IF(ISERROR(VLOOKUP(SMALL('Error Check Table-Hidden'!B:B,ROW(C421)-3),ErrorCheckTable,3,FALSE)), "",(VLOOKUP(SMALL('Error Check Table-Hidden'!B:B,ROW(C421)-3),ErrorCheckTable,3,FALSE)))</f>
        <v/>
      </c>
      <c r="D421" s="59" t="str">
        <f>IF(ISERROR(VLOOKUP(SMALL('Error Check Table-Hidden'!B:B,ROW(C421)-3),ErrorCheckTable,4,FALSE)), "",(VLOOKUP(SMALL('Error Check Table-Hidden'!B:B,ROW(C421)-3),ErrorCheckTable,4,FALSE)))</f>
        <v/>
      </c>
    </row>
    <row r="422" spans="2:4" x14ac:dyDescent="0.2">
      <c r="B422" s="67" t="str">
        <f t="shared" si="6"/>
        <v/>
      </c>
      <c r="C422" s="67" t="str">
        <f>IF(ISERROR(VLOOKUP(SMALL('Error Check Table-Hidden'!B:B,ROW(C422)-3),ErrorCheckTable,3,FALSE)), "",(VLOOKUP(SMALL('Error Check Table-Hidden'!B:B,ROW(C422)-3),ErrorCheckTable,3,FALSE)))</f>
        <v/>
      </c>
      <c r="D422" s="59" t="str">
        <f>IF(ISERROR(VLOOKUP(SMALL('Error Check Table-Hidden'!B:B,ROW(C422)-3),ErrorCheckTable,4,FALSE)), "",(VLOOKUP(SMALL('Error Check Table-Hidden'!B:B,ROW(C422)-3),ErrorCheckTable,4,FALSE)))</f>
        <v/>
      </c>
    </row>
    <row r="423" spans="2:4" x14ac:dyDescent="0.2">
      <c r="B423" s="67" t="str">
        <f t="shared" si="6"/>
        <v/>
      </c>
      <c r="C423" s="67" t="str">
        <f>IF(ISERROR(VLOOKUP(SMALL('Error Check Table-Hidden'!B:B,ROW(C423)-3),ErrorCheckTable,3,FALSE)), "",(VLOOKUP(SMALL('Error Check Table-Hidden'!B:B,ROW(C423)-3),ErrorCheckTable,3,FALSE)))</f>
        <v/>
      </c>
      <c r="D423" s="59" t="str">
        <f>IF(ISERROR(VLOOKUP(SMALL('Error Check Table-Hidden'!B:B,ROW(C423)-3),ErrorCheckTable,4,FALSE)), "",(VLOOKUP(SMALL('Error Check Table-Hidden'!B:B,ROW(C423)-3),ErrorCheckTable,4,FALSE)))</f>
        <v/>
      </c>
    </row>
    <row r="424" spans="2:4" x14ac:dyDescent="0.2">
      <c r="B424" s="67" t="str">
        <f t="shared" si="6"/>
        <v/>
      </c>
      <c r="C424" s="67" t="str">
        <f>IF(ISERROR(VLOOKUP(SMALL('Error Check Table-Hidden'!B:B,ROW(C424)-3),ErrorCheckTable,3,FALSE)), "",(VLOOKUP(SMALL('Error Check Table-Hidden'!B:B,ROW(C424)-3),ErrorCheckTable,3,FALSE)))</f>
        <v/>
      </c>
      <c r="D424" s="59" t="str">
        <f>IF(ISERROR(VLOOKUP(SMALL('Error Check Table-Hidden'!B:B,ROW(C424)-3),ErrorCheckTable,4,FALSE)), "",(VLOOKUP(SMALL('Error Check Table-Hidden'!B:B,ROW(C424)-3),ErrorCheckTable,4,FALSE)))</f>
        <v/>
      </c>
    </row>
    <row r="425" spans="2:4" x14ac:dyDescent="0.2">
      <c r="B425" s="67" t="str">
        <f t="shared" si="6"/>
        <v/>
      </c>
      <c r="C425" s="67" t="str">
        <f>IF(ISERROR(VLOOKUP(SMALL('Error Check Table-Hidden'!B:B,ROW(C425)-3),ErrorCheckTable,3,FALSE)), "",(VLOOKUP(SMALL('Error Check Table-Hidden'!B:B,ROW(C425)-3),ErrorCheckTable,3,FALSE)))</f>
        <v/>
      </c>
      <c r="D425" s="59" t="str">
        <f>IF(ISERROR(VLOOKUP(SMALL('Error Check Table-Hidden'!B:B,ROW(C425)-3),ErrorCheckTable,4,FALSE)), "",(VLOOKUP(SMALL('Error Check Table-Hidden'!B:B,ROW(C425)-3),ErrorCheckTable,4,FALSE)))</f>
        <v/>
      </c>
    </row>
    <row r="426" spans="2:4" x14ac:dyDescent="0.2">
      <c r="B426" s="67" t="str">
        <f t="shared" si="6"/>
        <v/>
      </c>
      <c r="C426" s="67" t="str">
        <f>IF(ISERROR(VLOOKUP(SMALL('Error Check Table-Hidden'!B:B,ROW(C426)-3),ErrorCheckTable,3,FALSE)), "",(VLOOKUP(SMALL('Error Check Table-Hidden'!B:B,ROW(C426)-3),ErrorCheckTable,3,FALSE)))</f>
        <v/>
      </c>
      <c r="D426" s="59" t="str">
        <f>IF(ISERROR(VLOOKUP(SMALL('Error Check Table-Hidden'!B:B,ROW(C426)-3),ErrorCheckTable,4,FALSE)), "",(VLOOKUP(SMALL('Error Check Table-Hidden'!B:B,ROW(C426)-3),ErrorCheckTable,4,FALSE)))</f>
        <v/>
      </c>
    </row>
    <row r="427" spans="2:4" x14ac:dyDescent="0.2">
      <c r="B427" s="67" t="str">
        <f t="shared" si="6"/>
        <v/>
      </c>
      <c r="C427" s="67" t="str">
        <f>IF(ISERROR(VLOOKUP(SMALL('Error Check Table-Hidden'!B:B,ROW(C427)-3),ErrorCheckTable,3,FALSE)), "",(VLOOKUP(SMALL('Error Check Table-Hidden'!B:B,ROW(C427)-3),ErrorCheckTable,3,FALSE)))</f>
        <v/>
      </c>
      <c r="D427" s="59" t="str">
        <f>IF(ISERROR(VLOOKUP(SMALL('Error Check Table-Hidden'!B:B,ROW(C427)-3),ErrorCheckTable,4,FALSE)), "",(VLOOKUP(SMALL('Error Check Table-Hidden'!B:B,ROW(C427)-3),ErrorCheckTable,4,FALSE)))</f>
        <v/>
      </c>
    </row>
    <row r="428" spans="2:4" x14ac:dyDescent="0.2">
      <c r="B428" s="67" t="str">
        <f t="shared" si="6"/>
        <v/>
      </c>
      <c r="C428" s="67" t="str">
        <f>IF(ISERROR(VLOOKUP(SMALL('Error Check Table-Hidden'!B:B,ROW(C428)-3),ErrorCheckTable,3,FALSE)), "",(VLOOKUP(SMALL('Error Check Table-Hidden'!B:B,ROW(C428)-3),ErrorCheckTable,3,FALSE)))</f>
        <v/>
      </c>
      <c r="D428" s="59" t="str">
        <f>IF(ISERROR(VLOOKUP(SMALL('Error Check Table-Hidden'!B:B,ROW(C428)-3),ErrorCheckTable,4,FALSE)), "",(VLOOKUP(SMALL('Error Check Table-Hidden'!B:B,ROW(C428)-3),ErrorCheckTable,4,FALSE)))</f>
        <v/>
      </c>
    </row>
    <row r="429" spans="2:4" x14ac:dyDescent="0.2">
      <c r="B429" s="67" t="str">
        <f t="shared" si="6"/>
        <v/>
      </c>
      <c r="C429" s="67" t="str">
        <f>IF(ISERROR(VLOOKUP(SMALL('Error Check Table-Hidden'!B:B,ROW(C429)-3),ErrorCheckTable,3,FALSE)), "",(VLOOKUP(SMALL('Error Check Table-Hidden'!B:B,ROW(C429)-3),ErrorCheckTable,3,FALSE)))</f>
        <v/>
      </c>
      <c r="D429" s="59" t="str">
        <f>IF(ISERROR(VLOOKUP(SMALL('Error Check Table-Hidden'!B:B,ROW(C429)-3),ErrorCheckTable,4,FALSE)), "",(VLOOKUP(SMALL('Error Check Table-Hidden'!B:B,ROW(C429)-3),ErrorCheckTable,4,FALSE)))</f>
        <v/>
      </c>
    </row>
    <row r="430" spans="2:4" x14ac:dyDescent="0.2">
      <c r="B430" s="67" t="str">
        <f t="shared" ref="B430:B493" si="7">IF(C430&lt;&gt;"",B429+1,"")</f>
        <v/>
      </c>
      <c r="C430" s="67" t="str">
        <f>IF(ISERROR(VLOOKUP(SMALL('Error Check Table-Hidden'!B:B,ROW(C430)-3),ErrorCheckTable,3,FALSE)), "",(VLOOKUP(SMALL('Error Check Table-Hidden'!B:B,ROW(C430)-3),ErrorCheckTable,3,FALSE)))</f>
        <v/>
      </c>
      <c r="D430" s="59" t="str">
        <f>IF(ISERROR(VLOOKUP(SMALL('Error Check Table-Hidden'!B:B,ROW(C430)-3),ErrorCheckTable,4,FALSE)), "",(VLOOKUP(SMALL('Error Check Table-Hidden'!B:B,ROW(C430)-3),ErrorCheckTable,4,FALSE)))</f>
        <v/>
      </c>
    </row>
    <row r="431" spans="2:4" x14ac:dyDescent="0.2">
      <c r="B431" s="67" t="str">
        <f t="shared" si="7"/>
        <v/>
      </c>
      <c r="C431" s="67" t="str">
        <f>IF(ISERROR(VLOOKUP(SMALL('Error Check Table-Hidden'!B:B,ROW(C431)-3),ErrorCheckTable,3,FALSE)), "",(VLOOKUP(SMALL('Error Check Table-Hidden'!B:B,ROW(C431)-3),ErrorCheckTable,3,FALSE)))</f>
        <v/>
      </c>
      <c r="D431" s="59" t="str">
        <f>IF(ISERROR(VLOOKUP(SMALL('Error Check Table-Hidden'!B:B,ROW(C431)-3),ErrorCheckTable,4,FALSE)), "",(VLOOKUP(SMALL('Error Check Table-Hidden'!B:B,ROW(C431)-3),ErrorCheckTable,4,FALSE)))</f>
        <v/>
      </c>
    </row>
    <row r="432" spans="2:4" x14ac:dyDescent="0.2">
      <c r="B432" s="67" t="str">
        <f t="shared" si="7"/>
        <v/>
      </c>
      <c r="C432" s="67" t="str">
        <f>IF(ISERROR(VLOOKUP(SMALL('Error Check Table-Hidden'!B:B,ROW(C432)-3),ErrorCheckTable,3,FALSE)), "",(VLOOKUP(SMALL('Error Check Table-Hidden'!B:B,ROW(C432)-3),ErrorCheckTable,3,FALSE)))</f>
        <v/>
      </c>
      <c r="D432" s="59" t="str">
        <f>IF(ISERROR(VLOOKUP(SMALL('Error Check Table-Hidden'!B:B,ROW(C432)-3),ErrorCheckTable,4,FALSE)), "",(VLOOKUP(SMALL('Error Check Table-Hidden'!B:B,ROW(C432)-3),ErrorCheckTable,4,FALSE)))</f>
        <v/>
      </c>
    </row>
    <row r="433" spans="2:4" x14ac:dyDescent="0.2">
      <c r="B433" s="67" t="str">
        <f t="shared" si="7"/>
        <v/>
      </c>
      <c r="C433" s="67" t="str">
        <f>IF(ISERROR(VLOOKUP(SMALL('Error Check Table-Hidden'!B:B,ROW(C433)-3),ErrorCheckTable,3,FALSE)), "",(VLOOKUP(SMALL('Error Check Table-Hidden'!B:B,ROW(C433)-3),ErrorCheckTable,3,FALSE)))</f>
        <v/>
      </c>
      <c r="D433" s="59" t="str">
        <f>IF(ISERROR(VLOOKUP(SMALL('Error Check Table-Hidden'!B:B,ROW(C433)-3),ErrorCheckTable,4,FALSE)), "",(VLOOKUP(SMALL('Error Check Table-Hidden'!B:B,ROW(C433)-3),ErrorCheckTable,4,FALSE)))</f>
        <v/>
      </c>
    </row>
    <row r="434" spans="2:4" x14ac:dyDescent="0.2">
      <c r="B434" s="67" t="str">
        <f t="shared" si="7"/>
        <v/>
      </c>
      <c r="C434" s="67" t="str">
        <f>IF(ISERROR(VLOOKUP(SMALL('Error Check Table-Hidden'!B:B,ROW(C434)-3),ErrorCheckTable,3,FALSE)), "",(VLOOKUP(SMALL('Error Check Table-Hidden'!B:B,ROW(C434)-3),ErrorCheckTable,3,FALSE)))</f>
        <v/>
      </c>
      <c r="D434" s="59" t="str">
        <f>IF(ISERROR(VLOOKUP(SMALL('Error Check Table-Hidden'!B:B,ROW(C434)-3),ErrorCheckTable,4,FALSE)), "",(VLOOKUP(SMALL('Error Check Table-Hidden'!B:B,ROW(C434)-3),ErrorCheckTable,4,FALSE)))</f>
        <v/>
      </c>
    </row>
    <row r="435" spans="2:4" x14ac:dyDescent="0.2">
      <c r="B435" s="67" t="str">
        <f t="shared" si="7"/>
        <v/>
      </c>
      <c r="C435" s="67" t="str">
        <f>IF(ISERROR(VLOOKUP(SMALL('Error Check Table-Hidden'!B:B,ROW(C435)-3),ErrorCheckTable,3,FALSE)), "",(VLOOKUP(SMALL('Error Check Table-Hidden'!B:B,ROW(C435)-3),ErrorCheckTable,3,FALSE)))</f>
        <v/>
      </c>
      <c r="D435" s="59" t="str">
        <f>IF(ISERROR(VLOOKUP(SMALL('Error Check Table-Hidden'!B:B,ROW(C435)-3),ErrorCheckTable,4,FALSE)), "",(VLOOKUP(SMALL('Error Check Table-Hidden'!B:B,ROW(C435)-3),ErrorCheckTable,4,FALSE)))</f>
        <v/>
      </c>
    </row>
    <row r="436" spans="2:4" x14ac:dyDescent="0.2">
      <c r="B436" s="67" t="str">
        <f t="shared" si="7"/>
        <v/>
      </c>
      <c r="C436" s="67" t="str">
        <f>IF(ISERROR(VLOOKUP(SMALL('Error Check Table-Hidden'!B:B,ROW(C436)-3),ErrorCheckTable,3,FALSE)), "",(VLOOKUP(SMALL('Error Check Table-Hidden'!B:B,ROW(C436)-3),ErrorCheckTable,3,FALSE)))</f>
        <v/>
      </c>
      <c r="D436" s="59" t="str">
        <f>IF(ISERROR(VLOOKUP(SMALL('Error Check Table-Hidden'!B:B,ROW(C436)-3),ErrorCheckTable,4,FALSE)), "",(VLOOKUP(SMALL('Error Check Table-Hidden'!B:B,ROW(C436)-3),ErrorCheckTable,4,FALSE)))</f>
        <v/>
      </c>
    </row>
    <row r="437" spans="2:4" x14ac:dyDescent="0.2">
      <c r="B437" s="67" t="str">
        <f t="shared" si="7"/>
        <v/>
      </c>
      <c r="C437" s="67" t="str">
        <f>IF(ISERROR(VLOOKUP(SMALL('Error Check Table-Hidden'!B:B,ROW(C437)-3),ErrorCheckTable,3,FALSE)), "",(VLOOKUP(SMALL('Error Check Table-Hidden'!B:B,ROW(C437)-3),ErrorCheckTable,3,FALSE)))</f>
        <v/>
      </c>
      <c r="D437" s="59" t="str">
        <f>IF(ISERROR(VLOOKUP(SMALL('Error Check Table-Hidden'!B:B,ROW(C437)-3),ErrorCheckTable,4,FALSE)), "",(VLOOKUP(SMALL('Error Check Table-Hidden'!B:B,ROW(C437)-3),ErrorCheckTable,4,FALSE)))</f>
        <v/>
      </c>
    </row>
    <row r="438" spans="2:4" x14ac:dyDescent="0.2">
      <c r="B438" s="67" t="str">
        <f t="shared" si="7"/>
        <v/>
      </c>
      <c r="C438" s="67" t="str">
        <f>IF(ISERROR(VLOOKUP(SMALL('Error Check Table-Hidden'!B:B,ROW(C438)-3),ErrorCheckTable,3,FALSE)), "",(VLOOKUP(SMALL('Error Check Table-Hidden'!B:B,ROW(C438)-3),ErrorCheckTable,3,FALSE)))</f>
        <v/>
      </c>
      <c r="D438" s="59" t="str">
        <f>IF(ISERROR(VLOOKUP(SMALL('Error Check Table-Hidden'!B:B,ROW(C438)-3),ErrorCheckTable,4,FALSE)), "",(VLOOKUP(SMALL('Error Check Table-Hidden'!B:B,ROW(C438)-3),ErrorCheckTable,4,FALSE)))</f>
        <v/>
      </c>
    </row>
    <row r="439" spans="2:4" x14ac:dyDescent="0.2">
      <c r="B439" s="67" t="str">
        <f t="shared" si="7"/>
        <v/>
      </c>
      <c r="C439" s="67" t="str">
        <f>IF(ISERROR(VLOOKUP(SMALL('Error Check Table-Hidden'!B:B,ROW(C439)-3),ErrorCheckTable,3,FALSE)), "",(VLOOKUP(SMALL('Error Check Table-Hidden'!B:B,ROW(C439)-3),ErrorCheckTable,3,FALSE)))</f>
        <v/>
      </c>
      <c r="D439" s="59" t="str">
        <f>IF(ISERROR(VLOOKUP(SMALL('Error Check Table-Hidden'!B:B,ROW(C439)-3),ErrorCheckTable,4,FALSE)), "",(VLOOKUP(SMALL('Error Check Table-Hidden'!B:B,ROW(C439)-3),ErrorCheckTable,4,FALSE)))</f>
        <v/>
      </c>
    </row>
    <row r="440" spans="2:4" x14ac:dyDescent="0.2">
      <c r="B440" s="67" t="str">
        <f t="shared" si="7"/>
        <v/>
      </c>
      <c r="C440" s="67" t="str">
        <f>IF(ISERROR(VLOOKUP(SMALL('Error Check Table-Hidden'!B:B,ROW(C440)-3),ErrorCheckTable,3,FALSE)), "",(VLOOKUP(SMALL('Error Check Table-Hidden'!B:B,ROW(C440)-3),ErrorCheckTable,3,FALSE)))</f>
        <v/>
      </c>
      <c r="D440" s="59" t="str">
        <f>IF(ISERROR(VLOOKUP(SMALL('Error Check Table-Hidden'!B:B,ROW(C440)-3),ErrorCheckTable,4,FALSE)), "",(VLOOKUP(SMALL('Error Check Table-Hidden'!B:B,ROW(C440)-3),ErrorCheckTable,4,FALSE)))</f>
        <v/>
      </c>
    </row>
    <row r="441" spans="2:4" x14ac:dyDescent="0.2">
      <c r="B441" s="67" t="str">
        <f t="shared" si="7"/>
        <v/>
      </c>
      <c r="C441" s="67" t="str">
        <f>IF(ISERROR(VLOOKUP(SMALL('Error Check Table-Hidden'!B:B,ROW(C441)-3),ErrorCheckTable,3,FALSE)), "",(VLOOKUP(SMALL('Error Check Table-Hidden'!B:B,ROW(C441)-3),ErrorCheckTable,3,FALSE)))</f>
        <v/>
      </c>
      <c r="D441" s="59" t="str">
        <f>IF(ISERROR(VLOOKUP(SMALL('Error Check Table-Hidden'!B:B,ROW(C441)-3),ErrorCheckTable,4,FALSE)), "",(VLOOKUP(SMALL('Error Check Table-Hidden'!B:B,ROW(C441)-3),ErrorCheckTable,4,FALSE)))</f>
        <v/>
      </c>
    </row>
    <row r="442" spans="2:4" x14ac:dyDescent="0.2">
      <c r="B442" s="67" t="str">
        <f t="shared" si="7"/>
        <v/>
      </c>
      <c r="C442" s="67" t="str">
        <f>IF(ISERROR(VLOOKUP(SMALL('Error Check Table-Hidden'!B:B,ROW(C442)-3),ErrorCheckTable,3,FALSE)), "",(VLOOKUP(SMALL('Error Check Table-Hidden'!B:B,ROW(C442)-3),ErrorCheckTable,3,FALSE)))</f>
        <v/>
      </c>
      <c r="D442" s="59" t="str">
        <f>IF(ISERROR(VLOOKUP(SMALL('Error Check Table-Hidden'!B:B,ROW(C442)-3),ErrorCheckTable,4,FALSE)), "",(VLOOKUP(SMALL('Error Check Table-Hidden'!B:B,ROW(C442)-3),ErrorCheckTable,4,FALSE)))</f>
        <v/>
      </c>
    </row>
    <row r="443" spans="2:4" x14ac:dyDescent="0.2">
      <c r="B443" s="67" t="str">
        <f t="shared" si="7"/>
        <v/>
      </c>
      <c r="C443" s="67" t="str">
        <f>IF(ISERROR(VLOOKUP(SMALL('Error Check Table-Hidden'!B:B,ROW(C443)-3),ErrorCheckTable,3,FALSE)), "",(VLOOKUP(SMALL('Error Check Table-Hidden'!B:B,ROW(C443)-3),ErrorCheckTable,3,FALSE)))</f>
        <v/>
      </c>
      <c r="D443" s="59" t="str">
        <f>IF(ISERROR(VLOOKUP(SMALL('Error Check Table-Hidden'!B:B,ROW(C443)-3),ErrorCheckTable,4,FALSE)), "",(VLOOKUP(SMALL('Error Check Table-Hidden'!B:B,ROW(C443)-3),ErrorCheckTable,4,FALSE)))</f>
        <v/>
      </c>
    </row>
    <row r="444" spans="2:4" x14ac:dyDescent="0.2">
      <c r="B444" s="67" t="str">
        <f t="shared" si="7"/>
        <v/>
      </c>
      <c r="C444" s="67" t="str">
        <f>IF(ISERROR(VLOOKUP(SMALL('Error Check Table-Hidden'!B:B,ROW(C444)-3),ErrorCheckTable,3,FALSE)), "",(VLOOKUP(SMALL('Error Check Table-Hidden'!B:B,ROW(C444)-3),ErrorCheckTable,3,FALSE)))</f>
        <v/>
      </c>
      <c r="D444" s="59" t="str">
        <f>IF(ISERROR(VLOOKUP(SMALL('Error Check Table-Hidden'!B:B,ROW(C444)-3),ErrorCheckTable,4,FALSE)), "",(VLOOKUP(SMALL('Error Check Table-Hidden'!B:B,ROW(C444)-3),ErrorCheckTable,4,FALSE)))</f>
        <v/>
      </c>
    </row>
    <row r="445" spans="2:4" x14ac:dyDescent="0.2">
      <c r="B445" s="67" t="str">
        <f t="shared" si="7"/>
        <v/>
      </c>
      <c r="C445" s="67" t="str">
        <f>IF(ISERROR(VLOOKUP(SMALL('Error Check Table-Hidden'!B:B,ROW(C445)-3),ErrorCheckTable,3,FALSE)), "",(VLOOKUP(SMALL('Error Check Table-Hidden'!B:B,ROW(C445)-3),ErrorCheckTable,3,FALSE)))</f>
        <v/>
      </c>
      <c r="D445" s="59" t="str">
        <f>IF(ISERROR(VLOOKUP(SMALL('Error Check Table-Hidden'!B:B,ROW(C445)-3),ErrorCheckTable,4,FALSE)), "",(VLOOKUP(SMALL('Error Check Table-Hidden'!B:B,ROW(C445)-3),ErrorCheckTable,4,FALSE)))</f>
        <v/>
      </c>
    </row>
    <row r="446" spans="2:4" x14ac:dyDescent="0.2">
      <c r="B446" s="67" t="str">
        <f t="shared" si="7"/>
        <v/>
      </c>
      <c r="C446" s="67" t="str">
        <f>IF(ISERROR(VLOOKUP(SMALL('Error Check Table-Hidden'!B:B,ROW(C446)-3),ErrorCheckTable,3,FALSE)), "",(VLOOKUP(SMALL('Error Check Table-Hidden'!B:B,ROW(C446)-3),ErrorCheckTable,3,FALSE)))</f>
        <v/>
      </c>
      <c r="D446" s="59" t="str">
        <f>IF(ISERROR(VLOOKUP(SMALL('Error Check Table-Hidden'!B:B,ROW(C446)-3),ErrorCheckTable,4,FALSE)), "",(VLOOKUP(SMALL('Error Check Table-Hidden'!B:B,ROW(C446)-3),ErrorCheckTable,4,FALSE)))</f>
        <v/>
      </c>
    </row>
    <row r="447" spans="2:4" x14ac:dyDescent="0.2">
      <c r="B447" s="67" t="str">
        <f t="shared" si="7"/>
        <v/>
      </c>
      <c r="C447" s="67" t="str">
        <f>IF(ISERROR(VLOOKUP(SMALL('Error Check Table-Hidden'!B:B,ROW(C447)-3),ErrorCheckTable,3,FALSE)), "",(VLOOKUP(SMALL('Error Check Table-Hidden'!B:B,ROW(C447)-3),ErrorCheckTable,3,FALSE)))</f>
        <v/>
      </c>
      <c r="D447" s="59" t="str">
        <f>IF(ISERROR(VLOOKUP(SMALL('Error Check Table-Hidden'!B:B,ROW(C447)-3),ErrorCheckTable,4,FALSE)), "",(VLOOKUP(SMALL('Error Check Table-Hidden'!B:B,ROW(C447)-3),ErrorCheckTable,4,FALSE)))</f>
        <v/>
      </c>
    </row>
    <row r="448" spans="2:4" x14ac:dyDescent="0.2">
      <c r="B448" s="67" t="str">
        <f t="shared" si="7"/>
        <v/>
      </c>
      <c r="C448" s="67" t="str">
        <f>IF(ISERROR(VLOOKUP(SMALL('Error Check Table-Hidden'!B:B,ROW(C448)-3),ErrorCheckTable,3,FALSE)), "",(VLOOKUP(SMALL('Error Check Table-Hidden'!B:B,ROW(C448)-3),ErrorCheckTable,3,FALSE)))</f>
        <v/>
      </c>
      <c r="D448" s="59" t="str">
        <f>IF(ISERROR(VLOOKUP(SMALL('Error Check Table-Hidden'!B:B,ROW(C448)-3),ErrorCheckTable,4,FALSE)), "",(VLOOKUP(SMALL('Error Check Table-Hidden'!B:B,ROW(C448)-3),ErrorCheckTable,4,FALSE)))</f>
        <v/>
      </c>
    </row>
    <row r="449" spans="2:4" x14ac:dyDescent="0.2">
      <c r="B449" s="67" t="str">
        <f t="shared" si="7"/>
        <v/>
      </c>
      <c r="C449" s="67" t="str">
        <f>IF(ISERROR(VLOOKUP(SMALL('Error Check Table-Hidden'!B:B,ROW(C449)-3),ErrorCheckTable,3,FALSE)), "",(VLOOKUP(SMALL('Error Check Table-Hidden'!B:B,ROW(C449)-3),ErrorCheckTable,3,FALSE)))</f>
        <v/>
      </c>
      <c r="D449" s="59" t="str">
        <f>IF(ISERROR(VLOOKUP(SMALL('Error Check Table-Hidden'!B:B,ROW(C449)-3),ErrorCheckTable,4,FALSE)), "",(VLOOKUP(SMALL('Error Check Table-Hidden'!B:B,ROW(C449)-3),ErrorCheckTable,4,FALSE)))</f>
        <v/>
      </c>
    </row>
    <row r="450" spans="2:4" x14ac:dyDescent="0.2">
      <c r="B450" s="67" t="str">
        <f t="shared" si="7"/>
        <v/>
      </c>
      <c r="C450" s="67" t="str">
        <f>IF(ISERROR(VLOOKUP(SMALL('Error Check Table-Hidden'!B:B,ROW(C450)-3),ErrorCheckTable,3,FALSE)), "",(VLOOKUP(SMALL('Error Check Table-Hidden'!B:B,ROW(C450)-3),ErrorCheckTable,3,FALSE)))</f>
        <v/>
      </c>
      <c r="D450" s="59" t="str">
        <f>IF(ISERROR(VLOOKUP(SMALL('Error Check Table-Hidden'!B:B,ROW(C450)-3),ErrorCheckTable,4,FALSE)), "",(VLOOKUP(SMALL('Error Check Table-Hidden'!B:B,ROW(C450)-3),ErrorCheckTable,4,FALSE)))</f>
        <v/>
      </c>
    </row>
    <row r="451" spans="2:4" x14ac:dyDescent="0.2">
      <c r="B451" s="67" t="str">
        <f t="shared" si="7"/>
        <v/>
      </c>
      <c r="C451" s="67" t="str">
        <f>IF(ISERROR(VLOOKUP(SMALL('Error Check Table-Hidden'!B:B,ROW(C451)-3),ErrorCheckTable,3,FALSE)), "",(VLOOKUP(SMALL('Error Check Table-Hidden'!B:B,ROW(C451)-3),ErrorCheckTable,3,FALSE)))</f>
        <v/>
      </c>
      <c r="D451" s="59" t="str">
        <f>IF(ISERROR(VLOOKUP(SMALL('Error Check Table-Hidden'!B:B,ROW(C451)-3),ErrorCheckTable,4,FALSE)), "",(VLOOKUP(SMALL('Error Check Table-Hidden'!B:B,ROW(C451)-3),ErrorCheckTable,4,FALSE)))</f>
        <v/>
      </c>
    </row>
    <row r="452" spans="2:4" x14ac:dyDescent="0.2">
      <c r="B452" s="67" t="str">
        <f t="shared" si="7"/>
        <v/>
      </c>
      <c r="C452" s="67" t="str">
        <f>IF(ISERROR(VLOOKUP(SMALL('Error Check Table-Hidden'!B:B,ROW(C452)-3),ErrorCheckTable,3,FALSE)), "",(VLOOKUP(SMALL('Error Check Table-Hidden'!B:B,ROW(C452)-3),ErrorCheckTable,3,FALSE)))</f>
        <v/>
      </c>
      <c r="D452" s="59" t="str">
        <f>IF(ISERROR(VLOOKUP(SMALL('Error Check Table-Hidden'!B:B,ROW(C452)-3),ErrorCheckTable,4,FALSE)), "",(VLOOKUP(SMALL('Error Check Table-Hidden'!B:B,ROW(C452)-3),ErrorCheckTable,4,FALSE)))</f>
        <v/>
      </c>
    </row>
    <row r="453" spans="2:4" x14ac:dyDescent="0.2">
      <c r="B453" s="67" t="str">
        <f t="shared" si="7"/>
        <v/>
      </c>
      <c r="C453" s="67" t="str">
        <f>IF(ISERROR(VLOOKUP(SMALL('Error Check Table-Hidden'!B:B,ROW(C453)-3),ErrorCheckTable,3,FALSE)), "",(VLOOKUP(SMALL('Error Check Table-Hidden'!B:B,ROW(C453)-3),ErrorCheckTable,3,FALSE)))</f>
        <v/>
      </c>
      <c r="D453" s="59" t="str">
        <f>IF(ISERROR(VLOOKUP(SMALL('Error Check Table-Hidden'!B:B,ROW(C453)-3),ErrorCheckTable,4,FALSE)), "",(VLOOKUP(SMALL('Error Check Table-Hidden'!B:B,ROW(C453)-3),ErrorCheckTable,4,FALSE)))</f>
        <v/>
      </c>
    </row>
    <row r="454" spans="2:4" x14ac:dyDescent="0.2">
      <c r="B454" s="67" t="str">
        <f t="shared" si="7"/>
        <v/>
      </c>
      <c r="C454" s="67" t="str">
        <f>IF(ISERROR(VLOOKUP(SMALL('Error Check Table-Hidden'!B:B,ROW(C454)-3),ErrorCheckTable,3,FALSE)), "",(VLOOKUP(SMALL('Error Check Table-Hidden'!B:B,ROW(C454)-3),ErrorCheckTable,3,FALSE)))</f>
        <v/>
      </c>
      <c r="D454" s="59" t="str">
        <f>IF(ISERROR(VLOOKUP(SMALL('Error Check Table-Hidden'!B:B,ROW(C454)-3),ErrorCheckTable,4,FALSE)), "",(VLOOKUP(SMALL('Error Check Table-Hidden'!B:B,ROW(C454)-3),ErrorCheckTable,4,FALSE)))</f>
        <v/>
      </c>
    </row>
    <row r="455" spans="2:4" x14ac:dyDescent="0.2">
      <c r="B455" s="67" t="str">
        <f t="shared" si="7"/>
        <v/>
      </c>
      <c r="C455" s="67" t="str">
        <f>IF(ISERROR(VLOOKUP(SMALL('Error Check Table-Hidden'!B:B,ROW(C455)-3),ErrorCheckTable,3,FALSE)), "",(VLOOKUP(SMALL('Error Check Table-Hidden'!B:B,ROW(C455)-3),ErrorCheckTable,3,FALSE)))</f>
        <v/>
      </c>
      <c r="D455" s="59" t="str">
        <f>IF(ISERROR(VLOOKUP(SMALL('Error Check Table-Hidden'!B:B,ROW(C455)-3),ErrorCheckTable,4,FALSE)), "",(VLOOKUP(SMALL('Error Check Table-Hidden'!B:B,ROW(C455)-3),ErrorCheckTable,4,FALSE)))</f>
        <v/>
      </c>
    </row>
    <row r="456" spans="2:4" x14ac:dyDescent="0.2">
      <c r="B456" s="67" t="str">
        <f t="shared" si="7"/>
        <v/>
      </c>
      <c r="C456" s="67" t="str">
        <f>IF(ISERROR(VLOOKUP(SMALL('Error Check Table-Hidden'!B:B,ROW(C456)-3),ErrorCheckTable,3,FALSE)), "",(VLOOKUP(SMALL('Error Check Table-Hidden'!B:B,ROW(C456)-3),ErrorCheckTable,3,FALSE)))</f>
        <v/>
      </c>
      <c r="D456" s="59" t="str">
        <f>IF(ISERROR(VLOOKUP(SMALL('Error Check Table-Hidden'!B:B,ROW(C456)-3),ErrorCheckTable,4,FALSE)), "",(VLOOKUP(SMALL('Error Check Table-Hidden'!B:B,ROW(C456)-3),ErrorCheckTable,4,FALSE)))</f>
        <v/>
      </c>
    </row>
    <row r="457" spans="2:4" x14ac:dyDescent="0.2">
      <c r="B457" s="67" t="str">
        <f t="shared" si="7"/>
        <v/>
      </c>
      <c r="C457" s="67" t="str">
        <f>IF(ISERROR(VLOOKUP(SMALL('Error Check Table-Hidden'!B:B,ROW(C457)-3),ErrorCheckTable,3,FALSE)), "",(VLOOKUP(SMALL('Error Check Table-Hidden'!B:B,ROW(C457)-3),ErrorCheckTable,3,FALSE)))</f>
        <v/>
      </c>
      <c r="D457" s="59" t="str">
        <f>IF(ISERROR(VLOOKUP(SMALL('Error Check Table-Hidden'!B:B,ROW(C457)-3),ErrorCheckTable,4,FALSE)), "",(VLOOKUP(SMALL('Error Check Table-Hidden'!B:B,ROW(C457)-3),ErrorCheckTable,4,FALSE)))</f>
        <v/>
      </c>
    </row>
    <row r="458" spans="2:4" x14ac:dyDescent="0.2">
      <c r="B458" s="67" t="str">
        <f t="shared" si="7"/>
        <v/>
      </c>
      <c r="C458" s="67" t="str">
        <f>IF(ISERROR(VLOOKUP(SMALL('Error Check Table-Hidden'!B:B,ROW(C458)-3),ErrorCheckTable,3,FALSE)), "",(VLOOKUP(SMALL('Error Check Table-Hidden'!B:B,ROW(C458)-3),ErrorCheckTable,3,FALSE)))</f>
        <v/>
      </c>
      <c r="D458" s="59" t="str">
        <f>IF(ISERROR(VLOOKUP(SMALL('Error Check Table-Hidden'!B:B,ROW(C458)-3),ErrorCheckTable,4,FALSE)), "",(VLOOKUP(SMALL('Error Check Table-Hidden'!B:B,ROW(C458)-3),ErrorCheckTable,4,FALSE)))</f>
        <v/>
      </c>
    </row>
    <row r="459" spans="2:4" x14ac:dyDescent="0.2">
      <c r="B459" s="67" t="str">
        <f t="shared" si="7"/>
        <v/>
      </c>
      <c r="C459" s="67" t="str">
        <f>IF(ISERROR(VLOOKUP(SMALL('Error Check Table-Hidden'!B:B,ROW(C459)-3),ErrorCheckTable,3,FALSE)), "",(VLOOKUP(SMALL('Error Check Table-Hidden'!B:B,ROW(C459)-3),ErrorCheckTable,3,FALSE)))</f>
        <v/>
      </c>
      <c r="D459" s="59" t="str">
        <f>IF(ISERROR(VLOOKUP(SMALL('Error Check Table-Hidden'!B:B,ROW(C459)-3),ErrorCheckTable,4,FALSE)), "",(VLOOKUP(SMALL('Error Check Table-Hidden'!B:B,ROW(C459)-3),ErrorCheckTable,4,FALSE)))</f>
        <v/>
      </c>
    </row>
    <row r="460" spans="2:4" x14ac:dyDescent="0.2">
      <c r="B460" s="67" t="str">
        <f t="shared" si="7"/>
        <v/>
      </c>
      <c r="C460" s="67" t="str">
        <f>IF(ISERROR(VLOOKUP(SMALL('Error Check Table-Hidden'!B:B,ROW(C460)-3),ErrorCheckTable,3,FALSE)), "",(VLOOKUP(SMALL('Error Check Table-Hidden'!B:B,ROW(C460)-3),ErrorCheckTable,3,FALSE)))</f>
        <v/>
      </c>
      <c r="D460" s="59" t="str">
        <f>IF(ISERROR(VLOOKUP(SMALL('Error Check Table-Hidden'!B:B,ROW(C460)-3),ErrorCheckTable,4,FALSE)), "",(VLOOKUP(SMALL('Error Check Table-Hidden'!B:B,ROW(C460)-3),ErrorCheckTable,4,FALSE)))</f>
        <v/>
      </c>
    </row>
    <row r="461" spans="2:4" x14ac:dyDescent="0.2">
      <c r="B461" s="67" t="str">
        <f t="shared" si="7"/>
        <v/>
      </c>
      <c r="C461" s="67" t="str">
        <f>IF(ISERROR(VLOOKUP(SMALL('Error Check Table-Hidden'!B:B,ROW(C461)-3),ErrorCheckTable,3,FALSE)), "",(VLOOKUP(SMALL('Error Check Table-Hidden'!B:B,ROW(C461)-3),ErrorCheckTable,3,FALSE)))</f>
        <v/>
      </c>
      <c r="D461" s="59" t="str">
        <f>IF(ISERROR(VLOOKUP(SMALL('Error Check Table-Hidden'!B:B,ROW(C461)-3),ErrorCheckTable,4,FALSE)), "",(VLOOKUP(SMALL('Error Check Table-Hidden'!B:B,ROW(C461)-3),ErrorCheckTable,4,FALSE)))</f>
        <v/>
      </c>
    </row>
    <row r="462" spans="2:4" x14ac:dyDescent="0.2">
      <c r="B462" s="67" t="str">
        <f t="shared" si="7"/>
        <v/>
      </c>
      <c r="C462" s="67" t="str">
        <f>IF(ISERROR(VLOOKUP(SMALL('Error Check Table-Hidden'!B:B,ROW(C462)-3),ErrorCheckTable,3,FALSE)), "",(VLOOKUP(SMALL('Error Check Table-Hidden'!B:B,ROW(C462)-3),ErrorCheckTable,3,FALSE)))</f>
        <v/>
      </c>
      <c r="D462" s="59" t="str">
        <f>IF(ISERROR(VLOOKUP(SMALL('Error Check Table-Hidden'!B:B,ROW(C462)-3),ErrorCheckTable,4,FALSE)), "",(VLOOKUP(SMALL('Error Check Table-Hidden'!B:B,ROW(C462)-3),ErrorCheckTable,4,FALSE)))</f>
        <v/>
      </c>
    </row>
    <row r="463" spans="2:4" x14ac:dyDescent="0.2">
      <c r="B463" s="67" t="str">
        <f t="shared" si="7"/>
        <v/>
      </c>
      <c r="C463" s="67" t="str">
        <f>IF(ISERROR(VLOOKUP(SMALL('Error Check Table-Hidden'!B:B,ROW(C463)-3),ErrorCheckTable,3,FALSE)), "",(VLOOKUP(SMALL('Error Check Table-Hidden'!B:B,ROW(C463)-3),ErrorCheckTable,3,FALSE)))</f>
        <v/>
      </c>
      <c r="D463" s="59" t="str">
        <f>IF(ISERROR(VLOOKUP(SMALL('Error Check Table-Hidden'!B:B,ROW(C463)-3),ErrorCheckTable,4,FALSE)), "",(VLOOKUP(SMALL('Error Check Table-Hidden'!B:B,ROW(C463)-3),ErrorCheckTable,4,FALSE)))</f>
        <v/>
      </c>
    </row>
    <row r="464" spans="2:4" x14ac:dyDescent="0.2">
      <c r="B464" s="67" t="str">
        <f t="shared" si="7"/>
        <v/>
      </c>
      <c r="C464" s="67" t="str">
        <f>IF(ISERROR(VLOOKUP(SMALL('Error Check Table-Hidden'!B:B,ROW(C464)-3),ErrorCheckTable,3,FALSE)), "",(VLOOKUP(SMALL('Error Check Table-Hidden'!B:B,ROW(C464)-3),ErrorCheckTable,3,FALSE)))</f>
        <v/>
      </c>
      <c r="D464" s="59" t="str">
        <f>IF(ISERROR(VLOOKUP(SMALL('Error Check Table-Hidden'!B:B,ROW(C464)-3),ErrorCheckTable,4,FALSE)), "",(VLOOKUP(SMALL('Error Check Table-Hidden'!B:B,ROW(C464)-3),ErrorCheckTable,4,FALSE)))</f>
        <v/>
      </c>
    </row>
    <row r="465" spans="2:4" x14ac:dyDescent="0.2">
      <c r="B465" s="67" t="str">
        <f t="shared" si="7"/>
        <v/>
      </c>
      <c r="C465" s="67" t="str">
        <f>IF(ISERROR(VLOOKUP(SMALL('Error Check Table-Hidden'!B:B,ROW(C465)-3),ErrorCheckTable,3,FALSE)), "",(VLOOKUP(SMALL('Error Check Table-Hidden'!B:B,ROW(C465)-3),ErrorCheckTable,3,FALSE)))</f>
        <v/>
      </c>
      <c r="D465" s="59" t="str">
        <f>IF(ISERROR(VLOOKUP(SMALL('Error Check Table-Hidden'!B:B,ROW(C465)-3),ErrorCheckTable,4,FALSE)), "",(VLOOKUP(SMALL('Error Check Table-Hidden'!B:B,ROW(C465)-3),ErrorCheckTable,4,FALSE)))</f>
        <v/>
      </c>
    </row>
    <row r="466" spans="2:4" x14ac:dyDescent="0.2">
      <c r="B466" s="67" t="str">
        <f t="shared" si="7"/>
        <v/>
      </c>
      <c r="C466" s="67" t="str">
        <f>IF(ISERROR(VLOOKUP(SMALL('Error Check Table-Hidden'!B:B,ROW(C466)-3),ErrorCheckTable,3,FALSE)), "",(VLOOKUP(SMALL('Error Check Table-Hidden'!B:B,ROW(C466)-3),ErrorCheckTable,3,FALSE)))</f>
        <v/>
      </c>
      <c r="D466" s="59" t="str">
        <f>IF(ISERROR(VLOOKUP(SMALL('Error Check Table-Hidden'!B:B,ROW(C466)-3),ErrorCheckTable,4,FALSE)), "",(VLOOKUP(SMALL('Error Check Table-Hidden'!B:B,ROW(C466)-3),ErrorCheckTable,4,FALSE)))</f>
        <v/>
      </c>
    </row>
    <row r="467" spans="2:4" x14ac:dyDescent="0.2">
      <c r="B467" s="67" t="str">
        <f t="shared" si="7"/>
        <v/>
      </c>
      <c r="C467" s="67" t="str">
        <f>IF(ISERROR(VLOOKUP(SMALL('Error Check Table-Hidden'!B:B,ROW(C467)-3),ErrorCheckTable,3,FALSE)), "",(VLOOKUP(SMALL('Error Check Table-Hidden'!B:B,ROW(C467)-3),ErrorCheckTable,3,FALSE)))</f>
        <v/>
      </c>
      <c r="D467" s="59" t="str">
        <f>IF(ISERROR(VLOOKUP(SMALL('Error Check Table-Hidden'!B:B,ROW(C467)-3),ErrorCheckTable,4,FALSE)), "",(VLOOKUP(SMALL('Error Check Table-Hidden'!B:B,ROW(C467)-3),ErrorCheckTable,4,FALSE)))</f>
        <v/>
      </c>
    </row>
    <row r="468" spans="2:4" x14ac:dyDescent="0.2">
      <c r="B468" s="67" t="str">
        <f t="shared" si="7"/>
        <v/>
      </c>
      <c r="C468" s="67" t="str">
        <f>IF(ISERROR(VLOOKUP(SMALL('Error Check Table-Hidden'!B:B,ROW(C468)-3),ErrorCheckTable,3,FALSE)), "",(VLOOKUP(SMALL('Error Check Table-Hidden'!B:B,ROW(C468)-3),ErrorCheckTable,3,FALSE)))</f>
        <v/>
      </c>
      <c r="D468" s="59" t="str">
        <f>IF(ISERROR(VLOOKUP(SMALL('Error Check Table-Hidden'!B:B,ROW(C468)-3),ErrorCheckTable,4,FALSE)), "",(VLOOKUP(SMALL('Error Check Table-Hidden'!B:B,ROW(C468)-3),ErrorCheckTable,4,FALSE)))</f>
        <v/>
      </c>
    </row>
    <row r="469" spans="2:4" x14ac:dyDescent="0.2">
      <c r="B469" s="67" t="str">
        <f t="shared" si="7"/>
        <v/>
      </c>
      <c r="C469" s="67" t="str">
        <f>IF(ISERROR(VLOOKUP(SMALL('Error Check Table-Hidden'!B:B,ROW(C469)-3),ErrorCheckTable,3,FALSE)), "",(VLOOKUP(SMALL('Error Check Table-Hidden'!B:B,ROW(C469)-3),ErrorCheckTable,3,FALSE)))</f>
        <v/>
      </c>
      <c r="D469" s="59" t="str">
        <f>IF(ISERROR(VLOOKUP(SMALL('Error Check Table-Hidden'!B:B,ROW(C469)-3),ErrorCheckTable,4,FALSE)), "",(VLOOKUP(SMALL('Error Check Table-Hidden'!B:B,ROW(C469)-3),ErrorCheckTable,4,FALSE)))</f>
        <v/>
      </c>
    </row>
    <row r="470" spans="2:4" x14ac:dyDescent="0.2">
      <c r="B470" s="67" t="str">
        <f t="shared" si="7"/>
        <v/>
      </c>
      <c r="C470" s="67" t="str">
        <f>IF(ISERROR(VLOOKUP(SMALL('Error Check Table-Hidden'!B:B,ROW(C470)-3),ErrorCheckTable,3,FALSE)), "",(VLOOKUP(SMALL('Error Check Table-Hidden'!B:B,ROW(C470)-3),ErrorCheckTable,3,FALSE)))</f>
        <v/>
      </c>
      <c r="D470" s="59" t="str">
        <f>IF(ISERROR(VLOOKUP(SMALL('Error Check Table-Hidden'!B:B,ROW(C470)-3),ErrorCheckTable,4,FALSE)), "",(VLOOKUP(SMALL('Error Check Table-Hidden'!B:B,ROW(C470)-3),ErrorCheckTable,4,FALSE)))</f>
        <v/>
      </c>
    </row>
    <row r="471" spans="2:4" x14ac:dyDescent="0.2">
      <c r="B471" s="67" t="str">
        <f t="shared" si="7"/>
        <v/>
      </c>
      <c r="C471" s="67" t="str">
        <f>IF(ISERROR(VLOOKUP(SMALL('Error Check Table-Hidden'!B:B,ROW(C471)-3),ErrorCheckTable,3,FALSE)), "",(VLOOKUP(SMALL('Error Check Table-Hidden'!B:B,ROW(C471)-3),ErrorCheckTable,3,FALSE)))</f>
        <v/>
      </c>
      <c r="D471" s="59" t="str">
        <f>IF(ISERROR(VLOOKUP(SMALL('Error Check Table-Hidden'!B:B,ROW(C471)-3),ErrorCheckTable,4,FALSE)), "",(VLOOKUP(SMALL('Error Check Table-Hidden'!B:B,ROW(C471)-3),ErrorCheckTable,4,FALSE)))</f>
        <v/>
      </c>
    </row>
    <row r="472" spans="2:4" x14ac:dyDescent="0.2">
      <c r="B472" s="67" t="str">
        <f t="shared" si="7"/>
        <v/>
      </c>
      <c r="C472" s="67" t="str">
        <f>IF(ISERROR(VLOOKUP(SMALL('Error Check Table-Hidden'!B:B,ROW(C472)-3),ErrorCheckTable,3,FALSE)), "",(VLOOKUP(SMALL('Error Check Table-Hidden'!B:B,ROW(C472)-3),ErrorCheckTable,3,FALSE)))</f>
        <v/>
      </c>
      <c r="D472" s="59" t="str">
        <f>IF(ISERROR(VLOOKUP(SMALL('Error Check Table-Hidden'!B:B,ROW(C472)-3),ErrorCheckTable,4,FALSE)), "",(VLOOKUP(SMALL('Error Check Table-Hidden'!B:B,ROW(C472)-3),ErrorCheckTable,4,FALSE)))</f>
        <v/>
      </c>
    </row>
    <row r="473" spans="2:4" x14ac:dyDescent="0.2">
      <c r="B473" s="67" t="str">
        <f t="shared" si="7"/>
        <v/>
      </c>
      <c r="C473" s="67" t="str">
        <f>IF(ISERROR(VLOOKUP(SMALL('Error Check Table-Hidden'!B:B,ROW(C473)-3),ErrorCheckTable,3,FALSE)), "",(VLOOKUP(SMALL('Error Check Table-Hidden'!B:B,ROW(C473)-3),ErrorCheckTable,3,FALSE)))</f>
        <v/>
      </c>
      <c r="D473" s="59" t="str">
        <f>IF(ISERROR(VLOOKUP(SMALL('Error Check Table-Hidden'!B:B,ROW(C473)-3),ErrorCheckTable,4,FALSE)), "",(VLOOKUP(SMALL('Error Check Table-Hidden'!B:B,ROW(C473)-3),ErrorCheckTable,4,FALSE)))</f>
        <v/>
      </c>
    </row>
    <row r="474" spans="2:4" x14ac:dyDescent="0.2">
      <c r="B474" s="67" t="str">
        <f t="shared" si="7"/>
        <v/>
      </c>
      <c r="C474" s="67" t="str">
        <f>IF(ISERROR(VLOOKUP(SMALL('Error Check Table-Hidden'!B:B,ROW(C474)-3),ErrorCheckTable,3,FALSE)), "",(VLOOKUP(SMALL('Error Check Table-Hidden'!B:B,ROW(C474)-3),ErrorCheckTable,3,FALSE)))</f>
        <v/>
      </c>
      <c r="D474" s="59" t="str">
        <f>IF(ISERROR(VLOOKUP(SMALL('Error Check Table-Hidden'!B:B,ROW(C474)-3),ErrorCheckTable,4,FALSE)), "",(VLOOKUP(SMALL('Error Check Table-Hidden'!B:B,ROW(C474)-3),ErrorCheckTable,4,FALSE)))</f>
        <v/>
      </c>
    </row>
    <row r="475" spans="2:4" x14ac:dyDescent="0.2">
      <c r="B475" s="67" t="str">
        <f t="shared" si="7"/>
        <v/>
      </c>
      <c r="C475" s="67" t="str">
        <f>IF(ISERROR(VLOOKUP(SMALL('Error Check Table-Hidden'!B:B,ROW(C475)-3),ErrorCheckTable,3,FALSE)), "",(VLOOKUP(SMALL('Error Check Table-Hidden'!B:B,ROW(C475)-3),ErrorCheckTable,3,FALSE)))</f>
        <v/>
      </c>
      <c r="D475" s="59" t="str">
        <f>IF(ISERROR(VLOOKUP(SMALL('Error Check Table-Hidden'!B:B,ROW(C475)-3),ErrorCheckTable,4,FALSE)), "",(VLOOKUP(SMALL('Error Check Table-Hidden'!B:B,ROW(C475)-3),ErrorCheckTable,4,FALSE)))</f>
        <v/>
      </c>
    </row>
    <row r="476" spans="2:4" x14ac:dyDescent="0.2">
      <c r="B476" s="67" t="str">
        <f t="shared" si="7"/>
        <v/>
      </c>
      <c r="C476" s="67" t="str">
        <f>IF(ISERROR(VLOOKUP(SMALL('Error Check Table-Hidden'!B:B,ROW(C476)-3),ErrorCheckTable,3,FALSE)), "",(VLOOKUP(SMALL('Error Check Table-Hidden'!B:B,ROW(C476)-3),ErrorCheckTable,3,FALSE)))</f>
        <v/>
      </c>
      <c r="D476" s="59" t="str">
        <f>IF(ISERROR(VLOOKUP(SMALL('Error Check Table-Hidden'!B:B,ROW(C476)-3),ErrorCheckTable,4,FALSE)), "",(VLOOKUP(SMALL('Error Check Table-Hidden'!B:B,ROW(C476)-3),ErrorCheckTable,4,FALSE)))</f>
        <v/>
      </c>
    </row>
    <row r="477" spans="2:4" x14ac:dyDescent="0.2">
      <c r="B477" s="67" t="str">
        <f t="shared" si="7"/>
        <v/>
      </c>
      <c r="C477" s="67" t="str">
        <f>IF(ISERROR(VLOOKUP(SMALL('Error Check Table-Hidden'!B:B,ROW(C477)-3),ErrorCheckTable,3,FALSE)), "",(VLOOKUP(SMALL('Error Check Table-Hidden'!B:B,ROW(C477)-3),ErrorCheckTable,3,FALSE)))</f>
        <v/>
      </c>
      <c r="D477" s="59" t="str">
        <f>IF(ISERROR(VLOOKUP(SMALL('Error Check Table-Hidden'!B:B,ROW(C477)-3),ErrorCheckTable,4,FALSE)), "",(VLOOKUP(SMALL('Error Check Table-Hidden'!B:B,ROW(C477)-3),ErrorCheckTable,4,FALSE)))</f>
        <v/>
      </c>
    </row>
    <row r="478" spans="2:4" x14ac:dyDescent="0.2">
      <c r="B478" s="67" t="str">
        <f t="shared" si="7"/>
        <v/>
      </c>
      <c r="C478" s="67" t="str">
        <f>IF(ISERROR(VLOOKUP(SMALL('Error Check Table-Hidden'!B:B,ROW(C478)-3),ErrorCheckTable,3,FALSE)), "",(VLOOKUP(SMALL('Error Check Table-Hidden'!B:B,ROW(C478)-3),ErrorCheckTable,3,FALSE)))</f>
        <v/>
      </c>
      <c r="D478" s="59" t="str">
        <f>IF(ISERROR(VLOOKUP(SMALL('Error Check Table-Hidden'!B:B,ROW(C478)-3),ErrorCheckTable,4,FALSE)), "",(VLOOKUP(SMALL('Error Check Table-Hidden'!B:B,ROW(C478)-3),ErrorCheckTable,4,FALSE)))</f>
        <v/>
      </c>
    </row>
    <row r="479" spans="2:4" x14ac:dyDescent="0.2">
      <c r="B479" s="67" t="str">
        <f t="shared" si="7"/>
        <v/>
      </c>
      <c r="C479" s="67" t="str">
        <f>IF(ISERROR(VLOOKUP(SMALL('Error Check Table-Hidden'!B:B,ROW(C479)-3),ErrorCheckTable,3,FALSE)), "",(VLOOKUP(SMALL('Error Check Table-Hidden'!B:B,ROW(C479)-3),ErrorCheckTable,3,FALSE)))</f>
        <v/>
      </c>
      <c r="D479" s="59" t="str">
        <f>IF(ISERROR(VLOOKUP(SMALL('Error Check Table-Hidden'!B:B,ROW(C479)-3),ErrorCheckTable,4,FALSE)), "",(VLOOKUP(SMALL('Error Check Table-Hidden'!B:B,ROW(C479)-3),ErrorCheckTable,4,FALSE)))</f>
        <v/>
      </c>
    </row>
    <row r="480" spans="2:4" x14ac:dyDescent="0.2">
      <c r="B480" s="67" t="str">
        <f t="shared" si="7"/>
        <v/>
      </c>
      <c r="C480" s="67" t="str">
        <f>IF(ISERROR(VLOOKUP(SMALL('Error Check Table-Hidden'!B:B,ROW(C480)-3),ErrorCheckTable,3,FALSE)), "",(VLOOKUP(SMALL('Error Check Table-Hidden'!B:B,ROW(C480)-3),ErrorCheckTable,3,FALSE)))</f>
        <v/>
      </c>
      <c r="D480" s="59" t="str">
        <f>IF(ISERROR(VLOOKUP(SMALL('Error Check Table-Hidden'!B:B,ROW(C480)-3),ErrorCheckTable,4,FALSE)), "",(VLOOKUP(SMALL('Error Check Table-Hidden'!B:B,ROW(C480)-3),ErrorCheckTable,4,FALSE)))</f>
        <v/>
      </c>
    </row>
    <row r="481" spans="2:4" x14ac:dyDescent="0.2">
      <c r="B481" s="67" t="str">
        <f t="shared" si="7"/>
        <v/>
      </c>
      <c r="C481" s="67" t="str">
        <f>IF(ISERROR(VLOOKUP(SMALL('Error Check Table-Hidden'!B:B,ROW(C481)-3),ErrorCheckTable,3,FALSE)), "",(VLOOKUP(SMALL('Error Check Table-Hidden'!B:B,ROW(C481)-3),ErrorCheckTable,3,FALSE)))</f>
        <v/>
      </c>
      <c r="D481" s="59" t="str">
        <f>IF(ISERROR(VLOOKUP(SMALL('Error Check Table-Hidden'!B:B,ROW(C481)-3),ErrorCheckTable,4,FALSE)), "",(VLOOKUP(SMALL('Error Check Table-Hidden'!B:B,ROW(C481)-3),ErrorCheckTable,4,FALSE)))</f>
        <v/>
      </c>
    </row>
    <row r="482" spans="2:4" x14ac:dyDescent="0.2">
      <c r="B482" s="67" t="str">
        <f t="shared" si="7"/>
        <v/>
      </c>
      <c r="C482" s="67" t="str">
        <f>IF(ISERROR(VLOOKUP(SMALL('Error Check Table-Hidden'!B:B,ROW(C482)-3),ErrorCheckTable,3,FALSE)), "",(VLOOKUP(SMALL('Error Check Table-Hidden'!B:B,ROW(C482)-3),ErrorCheckTable,3,FALSE)))</f>
        <v/>
      </c>
      <c r="D482" s="59" t="str">
        <f>IF(ISERROR(VLOOKUP(SMALL('Error Check Table-Hidden'!B:B,ROW(C482)-3),ErrorCheckTable,4,FALSE)), "",(VLOOKUP(SMALL('Error Check Table-Hidden'!B:B,ROW(C482)-3),ErrorCheckTable,4,FALSE)))</f>
        <v/>
      </c>
    </row>
    <row r="483" spans="2:4" x14ac:dyDescent="0.2">
      <c r="B483" s="67" t="str">
        <f t="shared" si="7"/>
        <v/>
      </c>
      <c r="C483" s="67" t="str">
        <f>IF(ISERROR(VLOOKUP(SMALL('Error Check Table-Hidden'!B:B,ROW(C483)-3),ErrorCheckTable,3,FALSE)), "",(VLOOKUP(SMALL('Error Check Table-Hidden'!B:B,ROW(C483)-3),ErrorCheckTable,3,FALSE)))</f>
        <v/>
      </c>
      <c r="D483" s="59" t="str">
        <f>IF(ISERROR(VLOOKUP(SMALL('Error Check Table-Hidden'!B:B,ROW(C483)-3),ErrorCheckTable,4,FALSE)), "",(VLOOKUP(SMALL('Error Check Table-Hidden'!B:B,ROW(C483)-3),ErrorCheckTable,4,FALSE)))</f>
        <v/>
      </c>
    </row>
    <row r="484" spans="2:4" x14ac:dyDescent="0.2">
      <c r="B484" s="67" t="str">
        <f t="shared" si="7"/>
        <v/>
      </c>
      <c r="C484" s="67" t="str">
        <f>IF(ISERROR(VLOOKUP(SMALL('Error Check Table-Hidden'!B:B,ROW(C484)-3),ErrorCheckTable,3,FALSE)), "",(VLOOKUP(SMALL('Error Check Table-Hidden'!B:B,ROW(C484)-3),ErrorCheckTable,3,FALSE)))</f>
        <v/>
      </c>
      <c r="D484" s="59" t="str">
        <f>IF(ISERROR(VLOOKUP(SMALL('Error Check Table-Hidden'!B:B,ROW(C484)-3),ErrorCheckTable,4,FALSE)), "",(VLOOKUP(SMALL('Error Check Table-Hidden'!B:B,ROW(C484)-3),ErrorCheckTable,4,FALSE)))</f>
        <v/>
      </c>
    </row>
    <row r="485" spans="2:4" x14ac:dyDescent="0.2">
      <c r="B485" s="67" t="str">
        <f t="shared" si="7"/>
        <v/>
      </c>
      <c r="C485" s="67" t="str">
        <f>IF(ISERROR(VLOOKUP(SMALL('Error Check Table-Hidden'!B:B,ROW(C485)-3),ErrorCheckTable,3,FALSE)), "",(VLOOKUP(SMALL('Error Check Table-Hidden'!B:B,ROW(C485)-3),ErrorCheckTable,3,FALSE)))</f>
        <v/>
      </c>
      <c r="D485" s="59" t="str">
        <f>IF(ISERROR(VLOOKUP(SMALL('Error Check Table-Hidden'!B:B,ROW(C485)-3),ErrorCheckTable,4,FALSE)), "",(VLOOKUP(SMALL('Error Check Table-Hidden'!B:B,ROW(C485)-3),ErrorCheckTable,4,FALSE)))</f>
        <v/>
      </c>
    </row>
    <row r="486" spans="2:4" x14ac:dyDescent="0.2">
      <c r="B486" s="67" t="str">
        <f t="shared" si="7"/>
        <v/>
      </c>
      <c r="C486" s="67" t="str">
        <f>IF(ISERROR(VLOOKUP(SMALL('Error Check Table-Hidden'!B:B,ROW(C486)-3),ErrorCheckTable,3,FALSE)), "",(VLOOKUP(SMALL('Error Check Table-Hidden'!B:B,ROW(C486)-3),ErrorCheckTable,3,FALSE)))</f>
        <v/>
      </c>
      <c r="D486" s="59" t="str">
        <f>IF(ISERROR(VLOOKUP(SMALL('Error Check Table-Hidden'!B:B,ROW(C486)-3),ErrorCheckTable,4,FALSE)), "",(VLOOKUP(SMALL('Error Check Table-Hidden'!B:B,ROW(C486)-3),ErrorCheckTable,4,FALSE)))</f>
        <v/>
      </c>
    </row>
    <row r="487" spans="2:4" x14ac:dyDescent="0.2">
      <c r="B487" s="67" t="str">
        <f t="shared" si="7"/>
        <v/>
      </c>
      <c r="C487" s="67" t="str">
        <f>IF(ISERROR(VLOOKUP(SMALL('Error Check Table-Hidden'!B:B,ROW(C487)-3),ErrorCheckTable,3,FALSE)), "",(VLOOKUP(SMALL('Error Check Table-Hidden'!B:B,ROW(C487)-3),ErrorCheckTable,3,FALSE)))</f>
        <v/>
      </c>
      <c r="D487" s="59" t="str">
        <f>IF(ISERROR(VLOOKUP(SMALL('Error Check Table-Hidden'!B:B,ROW(C487)-3),ErrorCheckTable,4,FALSE)), "",(VLOOKUP(SMALL('Error Check Table-Hidden'!B:B,ROW(C487)-3),ErrorCheckTable,4,FALSE)))</f>
        <v/>
      </c>
    </row>
    <row r="488" spans="2:4" x14ac:dyDescent="0.2">
      <c r="B488" s="67" t="str">
        <f t="shared" si="7"/>
        <v/>
      </c>
      <c r="C488" s="67" t="str">
        <f>IF(ISERROR(VLOOKUP(SMALL('Error Check Table-Hidden'!B:B,ROW(C488)-3),ErrorCheckTable,3,FALSE)), "",(VLOOKUP(SMALL('Error Check Table-Hidden'!B:B,ROW(C488)-3),ErrorCheckTable,3,FALSE)))</f>
        <v/>
      </c>
      <c r="D488" s="59" t="str">
        <f>IF(ISERROR(VLOOKUP(SMALL('Error Check Table-Hidden'!B:B,ROW(C488)-3),ErrorCheckTable,4,FALSE)), "",(VLOOKUP(SMALL('Error Check Table-Hidden'!B:B,ROW(C488)-3),ErrorCheckTable,4,FALSE)))</f>
        <v/>
      </c>
    </row>
    <row r="489" spans="2:4" x14ac:dyDescent="0.2">
      <c r="B489" s="67" t="str">
        <f t="shared" si="7"/>
        <v/>
      </c>
      <c r="C489" s="67" t="str">
        <f>IF(ISERROR(VLOOKUP(SMALL('Error Check Table-Hidden'!B:B,ROW(C489)-3),ErrorCheckTable,3,FALSE)), "",(VLOOKUP(SMALL('Error Check Table-Hidden'!B:B,ROW(C489)-3),ErrorCheckTable,3,FALSE)))</f>
        <v/>
      </c>
      <c r="D489" s="59" t="str">
        <f>IF(ISERROR(VLOOKUP(SMALL('Error Check Table-Hidden'!B:B,ROW(C489)-3),ErrorCheckTable,4,FALSE)), "",(VLOOKUP(SMALL('Error Check Table-Hidden'!B:B,ROW(C489)-3),ErrorCheckTable,4,FALSE)))</f>
        <v/>
      </c>
    </row>
    <row r="490" spans="2:4" x14ac:dyDescent="0.2">
      <c r="B490" s="67" t="str">
        <f t="shared" si="7"/>
        <v/>
      </c>
      <c r="C490" s="67" t="str">
        <f>IF(ISERROR(VLOOKUP(SMALL('Error Check Table-Hidden'!B:B,ROW(C490)-3),ErrorCheckTable,3,FALSE)), "",(VLOOKUP(SMALL('Error Check Table-Hidden'!B:B,ROW(C490)-3),ErrorCheckTable,3,FALSE)))</f>
        <v/>
      </c>
      <c r="D490" s="59" t="str">
        <f>IF(ISERROR(VLOOKUP(SMALL('Error Check Table-Hidden'!B:B,ROW(C490)-3),ErrorCheckTable,4,FALSE)), "",(VLOOKUP(SMALL('Error Check Table-Hidden'!B:B,ROW(C490)-3),ErrorCheckTable,4,FALSE)))</f>
        <v/>
      </c>
    </row>
    <row r="491" spans="2:4" x14ac:dyDescent="0.2">
      <c r="B491" s="67" t="str">
        <f t="shared" si="7"/>
        <v/>
      </c>
      <c r="C491" s="67" t="str">
        <f>IF(ISERROR(VLOOKUP(SMALL('Error Check Table-Hidden'!B:B,ROW(C491)-3),ErrorCheckTable,3,FALSE)), "",(VLOOKUP(SMALL('Error Check Table-Hidden'!B:B,ROW(C491)-3),ErrorCheckTable,3,FALSE)))</f>
        <v/>
      </c>
      <c r="D491" s="59" t="str">
        <f>IF(ISERROR(VLOOKUP(SMALL('Error Check Table-Hidden'!B:B,ROW(C491)-3),ErrorCheckTable,4,FALSE)), "",(VLOOKUP(SMALL('Error Check Table-Hidden'!B:B,ROW(C491)-3),ErrorCheckTable,4,FALSE)))</f>
        <v/>
      </c>
    </row>
    <row r="492" spans="2:4" x14ac:dyDescent="0.2">
      <c r="B492" s="67" t="str">
        <f t="shared" si="7"/>
        <v/>
      </c>
      <c r="C492" s="67" t="str">
        <f>IF(ISERROR(VLOOKUP(SMALL('Error Check Table-Hidden'!B:B,ROW(C492)-3),ErrorCheckTable,3,FALSE)), "",(VLOOKUP(SMALL('Error Check Table-Hidden'!B:B,ROW(C492)-3),ErrorCheckTable,3,FALSE)))</f>
        <v/>
      </c>
      <c r="D492" s="59" t="str">
        <f>IF(ISERROR(VLOOKUP(SMALL('Error Check Table-Hidden'!B:B,ROW(C492)-3),ErrorCheckTable,4,FALSE)), "",(VLOOKUP(SMALL('Error Check Table-Hidden'!B:B,ROW(C492)-3),ErrorCheckTable,4,FALSE)))</f>
        <v/>
      </c>
    </row>
    <row r="493" spans="2:4" x14ac:dyDescent="0.2">
      <c r="B493" s="67" t="str">
        <f t="shared" si="7"/>
        <v/>
      </c>
      <c r="C493" s="67" t="str">
        <f>IF(ISERROR(VLOOKUP(SMALL('Error Check Table-Hidden'!B:B,ROW(C493)-3),ErrorCheckTable,3,FALSE)), "",(VLOOKUP(SMALL('Error Check Table-Hidden'!B:B,ROW(C493)-3),ErrorCheckTable,3,FALSE)))</f>
        <v/>
      </c>
      <c r="D493" s="59" t="str">
        <f>IF(ISERROR(VLOOKUP(SMALL('Error Check Table-Hidden'!B:B,ROW(C493)-3),ErrorCheckTable,4,FALSE)), "",(VLOOKUP(SMALL('Error Check Table-Hidden'!B:B,ROW(C493)-3),ErrorCheckTable,4,FALSE)))</f>
        <v/>
      </c>
    </row>
    <row r="494" spans="2:4" x14ac:dyDescent="0.2">
      <c r="B494" s="67" t="str">
        <f t="shared" ref="B494:B557" si="8">IF(C494&lt;&gt;"",B493+1,"")</f>
        <v/>
      </c>
      <c r="C494" s="67" t="str">
        <f>IF(ISERROR(VLOOKUP(SMALL('Error Check Table-Hidden'!B:B,ROW(C494)-3),ErrorCheckTable,3,FALSE)), "",(VLOOKUP(SMALL('Error Check Table-Hidden'!B:B,ROW(C494)-3),ErrorCheckTable,3,FALSE)))</f>
        <v/>
      </c>
      <c r="D494" s="59" t="str">
        <f>IF(ISERROR(VLOOKUP(SMALL('Error Check Table-Hidden'!B:B,ROW(C494)-3),ErrorCheckTable,4,FALSE)), "",(VLOOKUP(SMALL('Error Check Table-Hidden'!B:B,ROW(C494)-3),ErrorCheckTable,4,FALSE)))</f>
        <v/>
      </c>
    </row>
    <row r="495" spans="2:4" x14ac:dyDescent="0.2">
      <c r="B495" s="67" t="str">
        <f t="shared" si="8"/>
        <v/>
      </c>
      <c r="C495" s="67" t="str">
        <f>IF(ISERROR(VLOOKUP(SMALL('Error Check Table-Hidden'!B:B,ROW(C495)-3),ErrorCheckTable,3,FALSE)), "",(VLOOKUP(SMALL('Error Check Table-Hidden'!B:B,ROW(C495)-3),ErrorCheckTable,3,FALSE)))</f>
        <v/>
      </c>
      <c r="D495" s="59" t="str">
        <f>IF(ISERROR(VLOOKUP(SMALL('Error Check Table-Hidden'!B:B,ROW(C495)-3),ErrorCheckTable,4,FALSE)), "",(VLOOKUP(SMALL('Error Check Table-Hidden'!B:B,ROW(C495)-3),ErrorCheckTable,4,FALSE)))</f>
        <v/>
      </c>
    </row>
    <row r="496" spans="2:4" x14ac:dyDescent="0.2">
      <c r="B496" s="67" t="str">
        <f t="shared" si="8"/>
        <v/>
      </c>
      <c r="C496" s="67" t="str">
        <f>IF(ISERROR(VLOOKUP(SMALL('Error Check Table-Hidden'!B:B,ROW(C496)-3),ErrorCheckTable,3,FALSE)), "",(VLOOKUP(SMALL('Error Check Table-Hidden'!B:B,ROW(C496)-3),ErrorCheckTable,3,FALSE)))</f>
        <v/>
      </c>
      <c r="D496" s="59" t="str">
        <f>IF(ISERROR(VLOOKUP(SMALL('Error Check Table-Hidden'!B:B,ROW(C496)-3),ErrorCheckTable,4,FALSE)), "",(VLOOKUP(SMALL('Error Check Table-Hidden'!B:B,ROW(C496)-3),ErrorCheckTable,4,FALSE)))</f>
        <v/>
      </c>
    </row>
    <row r="497" spans="2:4" x14ac:dyDescent="0.2">
      <c r="B497" s="67" t="str">
        <f t="shared" si="8"/>
        <v/>
      </c>
      <c r="C497" s="67" t="str">
        <f>IF(ISERROR(VLOOKUP(SMALL('Error Check Table-Hidden'!B:B,ROW(C497)-3),ErrorCheckTable,3,FALSE)), "",(VLOOKUP(SMALL('Error Check Table-Hidden'!B:B,ROW(C497)-3),ErrorCheckTable,3,FALSE)))</f>
        <v/>
      </c>
      <c r="D497" s="59" t="str">
        <f>IF(ISERROR(VLOOKUP(SMALL('Error Check Table-Hidden'!B:B,ROW(C497)-3),ErrorCheckTable,4,FALSE)), "",(VLOOKUP(SMALL('Error Check Table-Hidden'!B:B,ROW(C497)-3),ErrorCheckTable,4,FALSE)))</f>
        <v/>
      </c>
    </row>
    <row r="498" spans="2:4" x14ac:dyDescent="0.2">
      <c r="B498" s="67" t="str">
        <f t="shared" si="8"/>
        <v/>
      </c>
      <c r="C498" s="67" t="str">
        <f>IF(ISERROR(VLOOKUP(SMALL('Error Check Table-Hidden'!B:B,ROW(C498)-3),ErrorCheckTable,3,FALSE)), "",(VLOOKUP(SMALL('Error Check Table-Hidden'!B:B,ROW(C498)-3),ErrorCheckTable,3,FALSE)))</f>
        <v/>
      </c>
      <c r="D498" s="59" t="str">
        <f>IF(ISERROR(VLOOKUP(SMALL('Error Check Table-Hidden'!B:B,ROW(C498)-3),ErrorCheckTable,4,FALSE)), "",(VLOOKUP(SMALL('Error Check Table-Hidden'!B:B,ROW(C498)-3),ErrorCheckTable,4,FALSE)))</f>
        <v/>
      </c>
    </row>
    <row r="499" spans="2:4" x14ac:dyDescent="0.2">
      <c r="B499" s="67" t="str">
        <f t="shared" si="8"/>
        <v/>
      </c>
      <c r="C499" s="67" t="str">
        <f>IF(ISERROR(VLOOKUP(SMALL('Error Check Table-Hidden'!B:B,ROW(C499)-3),ErrorCheckTable,3,FALSE)), "",(VLOOKUP(SMALL('Error Check Table-Hidden'!B:B,ROW(C499)-3),ErrorCheckTable,3,FALSE)))</f>
        <v/>
      </c>
      <c r="D499" s="59" t="str">
        <f>IF(ISERROR(VLOOKUP(SMALL('Error Check Table-Hidden'!B:B,ROW(C499)-3),ErrorCheckTable,4,FALSE)), "",(VLOOKUP(SMALL('Error Check Table-Hidden'!B:B,ROW(C499)-3),ErrorCheckTable,4,FALSE)))</f>
        <v/>
      </c>
    </row>
    <row r="500" spans="2:4" x14ac:dyDescent="0.2">
      <c r="B500" s="67" t="str">
        <f t="shared" si="8"/>
        <v/>
      </c>
      <c r="C500" s="67" t="str">
        <f>IF(ISERROR(VLOOKUP(SMALL('Error Check Table-Hidden'!B:B,ROW(C500)-3),ErrorCheckTable,3,FALSE)), "",(VLOOKUP(SMALL('Error Check Table-Hidden'!B:B,ROW(C500)-3),ErrorCheckTable,3,FALSE)))</f>
        <v/>
      </c>
      <c r="D500" s="59" t="str">
        <f>IF(ISERROR(VLOOKUP(SMALL('Error Check Table-Hidden'!B:B,ROW(C500)-3),ErrorCheckTable,4,FALSE)), "",(VLOOKUP(SMALL('Error Check Table-Hidden'!B:B,ROW(C500)-3),ErrorCheckTable,4,FALSE)))</f>
        <v/>
      </c>
    </row>
    <row r="501" spans="2:4" x14ac:dyDescent="0.2">
      <c r="B501" s="67" t="str">
        <f t="shared" si="8"/>
        <v/>
      </c>
      <c r="C501" s="67" t="str">
        <f>IF(ISERROR(VLOOKUP(SMALL('Error Check Table-Hidden'!B:B,ROW(C501)-3),ErrorCheckTable,3,FALSE)), "",(VLOOKUP(SMALL('Error Check Table-Hidden'!B:B,ROW(C501)-3),ErrorCheckTable,3,FALSE)))</f>
        <v/>
      </c>
      <c r="D501" s="59" t="str">
        <f>IF(ISERROR(VLOOKUP(SMALL('Error Check Table-Hidden'!B:B,ROW(C501)-3),ErrorCheckTable,4,FALSE)), "",(VLOOKUP(SMALL('Error Check Table-Hidden'!B:B,ROW(C501)-3),ErrorCheckTable,4,FALSE)))</f>
        <v/>
      </c>
    </row>
    <row r="502" spans="2:4" x14ac:dyDescent="0.2">
      <c r="B502" s="67" t="str">
        <f t="shared" si="8"/>
        <v/>
      </c>
      <c r="C502" s="67" t="str">
        <f>IF(ISERROR(VLOOKUP(SMALL('Error Check Table-Hidden'!B:B,ROW(C502)-3),ErrorCheckTable,3,FALSE)), "",(VLOOKUP(SMALL('Error Check Table-Hidden'!B:B,ROW(C502)-3),ErrorCheckTable,3,FALSE)))</f>
        <v/>
      </c>
      <c r="D502" s="59" t="str">
        <f>IF(ISERROR(VLOOKUP(SMALL('Error Check Table-Hidden'!B:B,ROW(C502)-3),ErrorCheckTable,4,FALSE)), "",(VLOOKUP(SMALL('Error Check Table-Hidden'!B:B,ROW(C502)-3),ErrorCheckTable,4,FALSE)))</f>
        <v/>
      </c>
    </row>
    <row r="503" spans="2:4" x14ac:dyDescent="0.2">
      <c r="B503" s="67" t="str">
        <f t="shared" si="8"/>
        <v/>
      </c>
      <c r="C503" s="67" t="str">
        <f>IF(ISERROR(VLOOKUP(SMALL('Error Check Table-Hidden'!B:B,ROW(C503)-3),ErrorCheckTable,3,FALSE)), "",(VLOOKUP(SMALL('Error Check Table-Hidden'!B:B,ROW(C503)-3),ErrorCheckTable,3,FALSE)))</f>
        <v/>
      </c>
      <c r="D503" s="59" t="str">
        <f>IF(ISERROR(VLOOKUP(SMALL('Error Check Table-Hidden'!B:B,ROW(C503)-3),ErrorCheckTable,4,FALSE)), "",(VLOOKUP(SMALL('Error Check Table-Hidden'!B:B,ROW(C503)-3),ErrorCheckTable,4,FALSE)))</f>
        <v/>
      </c>
    </row>
    <row r="504" spans="2:4" x14ac:dyDescent="0.2">
      <c r="B504" s="67" t="str">
        <f t="shared" si="8"/>
        <v/>
      </c>
      <c r="C504" s="67" t="str">
        <f>IF(ISERROR(VLOOKUP(SMALL('Error Check Table-Hidden'!B:B,ROW(C504)-3),ErrorCheckTable,3,FALSE)), "",(VLOOKUP(SMALL('Error Check Table-Hidden'!B:B,ROW(C504)-3),ErrorCheckTable,3,FALSE)))</f>
        <v/>
      </c>
      <c r="D504" s="59" t="str">
        <f>IF(ISERROR(VLOOKUP(SMALL('Error Check Table-Hidden'!B:B,ROW(C504)-3),ErrorCheckTable,4,FALSE)), "",(VLOOKUP(SMALL('Error Check Table-Hidden'!B:B,ROW(C504)-3),ErrorCheckTable,4,FALSE)))</f>
        <v/>
      </c>
    </row>
    <row r="505" spans="2:4" x14ac:dyDescent="0.2">
      <c r="B505" s="67" t="str">
        <f t="shared" si="8"/>
        <v/>
      </c>
      <c r="C505" s="67" t="str">
        <f>IF(ISERROR(VLOOKUP(SMALL('Error Check Table-Hidden'!B:B,ROW(C505)-3),ErrorCheckTable,3,FALSE)), "",(VLOOKUP(SMALL('Error Check Table-Hidden'!B:B,ROW(C505)-3),ErrorCheckTable,3,FALSE)))</f>
        <v/>
      </c>
      <c r="D505" s="59" t="str">
        <f>IF(ISERROR(VLOOKUP(SMALL('Error Check Table-Hidden'!B:B,ROW(C505)-3),ErrorCheckTable,4,FALSE)), "",(VLOOKUP(SMALL('Error Check Table-Hidden'!B:B,ROW(C505)-3),ErrorCheckTable,4,FALSE)))</f>
        <v/>
      </c>
    </row>
    <row r="506" spans="2:4" x14ac:dyDescent="0.2">
      <c r="B506" s="67" t="str">
        <f t="shared" si="8"/>
        <v/>
      </c>
      <c r="C506" s="67" t="str">
        <f>IF(ISERROR(VLOOKUP(SMALL('Error Check Table-Hidden'!B:B,ROW(C506)-3),ErrorCheckTable,3,FALSE)), "",(VLOOKUP(SMALL('Error Check Table-Hidden'!B:B,ROW(C506)-3),ErrorCheckTable,3,FALSE)))</f>
        <v/>
      </c>
      <c r="D506" s="59" t="str">
        <f>IF(ISERROR(VLOOKUP(SMALL('Error Check Table-Hidden'!B:B,ROW(C506)-3),ErrorCheckTable,4,FALSE)), "",(VLOOKUP(SMALL('Error Check Table-Hidden'!B:B,ROW(C506)-3),ErrorCheckTable,4,FALSE)))</f>
        <v/>
      </c>
    </row>
    <row r="507" spans="2:4" x14ac:dyDescent="0.2">
      <c r="B507" s="67" t="str">
        <f t="shared" si="8"/>
        <v/>
      </c>
      <c r="C507" s="67" t="str">
        <f>IF(ISERROR(VLOOKUP(SMALL('Error Check Table-Hidden'!B:B,ROW(C507)-3),ErrorCheckTable,3,FALSE)), "",(VLOOKUP(SMALL('Error Check Table-Hidden'!B:B,ROW(C507)-3),ErrorCheckTable,3,FALSE)))</f>
        <v/>
      </c>
      <c r="D507" s="59" t="str">
        <f>IF(ISERROR(VLOOKUP(SMALL('Error Check Table-Hidden'!B:B,ROW(C507)-3),ErrorCheckTable,4,FALSE)), "",(VLOOKUP(SMALL('Error Check Table-Hidden'!B:B,ROW(C507)-3),ErrorCheckTable,4,FALSE)))</f>
        <v/>
      </c>
    </row>
    <row r="508" spans="2:4" x14ac:dyDescent="0.2">
      <c r="B508" s="67" t="str">
        <f t="shared" si="8"/>
        <v/>
      </c>
      <c r="C508" s="67" t="str">
        <f>IF(ISERROR(VLOOKUP(SMALL('Error Check Table-Hidden'!B:B,ROW(C508)-3),ErrorCheckTable,3,FALSE)), "",(VLOOKUP(SMALL('Error Check Table-Hidden'!B:B,ROW(C508)-3),ErrorCheckTable,3,FALSE)))</f>
        <v/>
      </c>
      <c r="D508" s="59" t="str">
        <f>IF(ISERROR(VLOOKUP(SMALL('Error Check Table-Hidden'!B:B,ROW(C508)-3),ErrorCheckTable,4,FALSE)), "",(VLOOKUP(SMALL('Error Check Table-Hidden'!B:B,ROW(C508)-3),ErrorCheckTable,4,FALSE)))</f>
        <v/>
      </c>
    </row>
    <row r="509" spans="2:4" x14ac:dyDescent="0.2">
      <c r="B509" s="67" t="str">
        <f t="shared" si="8"/>
        <v/>
      </c>
      <c r="C509" s="67" t="str">
        <f>IF(ISERROR(VLOOKUP(SMALL('Error Check Table-Hidden'!B:B,ROW(C509)-3),ErrorCheckTable,3,FALSE)), "",(VLOOKUP(SMALL('Error Check Table-Hidden'!B:B,ROW(C509)-3),ErrorCheckTable,3,FALSE)))</f>
        <v/>
      </c>
      <c r="D509" s="59" t="str">
        <f>IF(ISERROR(VLOOKUP(SMALL('Error Check Table-Hidden'!B:B,ROW(C509)-3),ErrorCheckTable,4,FALSE)), "",(VLOOKUP(SMALL('Error Check Table-Hidden'!B:B,ROW(C509)-3),ErrorCheckTable,4,FALSE)))</f>
        <v/>
      </c>
    </row>
    <row r="510" spans="2:4" x14ac:dyDescent="0.2">
      <c r="B510" s="67" t="str">
        <f t="shared" si="8"/>
        <v/>
      </c>
      <c r="C510" s="67" t="str">
        <f>IF(ISERROR(VLOOKUP(SMALL('Error Check Table-Hidden'!B:B,ROW(C510)-3),ErrorCheckTable,3,FALSE)), "",(VLOOKUP(SMALL('Error Check Table-Hidden'!B:B,ROW(C510)-3),ErrorCheckTable,3,FALSE)))</f>
        <v/>
      </c>
      <c r="D510" s="59" t="str">
        <f>IF(ISERROR(VLOOKUP(SMALL('Error Check Table-Hidden'!B:B,ROW(C510)-3),ErrorCheckTable,4,FALSE)), "",(VLOOKUP(SMALL('Error Check Table-Hidden'!B:B,ROW(C510)-3),ErrorCheckTable,4,FALSE)))</f>
        <v/>
      </c>
    </row>
    <row r="511" spans="2:4" x14ac:dyDescent="0.2">
      <c r="B511" s="67" t="str">
        <f t="shared" si="8"/>
        <v/>
      </c>
      <c r="C511" s="67" t="str">
        <f>IF(ISERROR(VLOOKUP(SMALL('Error Check Table-Hidden'!B:B,ROW(C511)-3),ErrorCheckTable,3,FALSE)), "",(VLOOKUP(SMALL('Error Check Table-Hidden'!B:B,ROW(C511)-3),ErrorCheckTable,3,FALSE)))</f>
        <v/>
      </c>
      <c r="D511" s="59" t="str">
        <f>IF(ISERROR(VLOOKUP(SMALL('Error Check Table-Hidden'!B:B,ROW(C511)-3),ErrorCheckTable,4,FALSE)), "",(VLOOKUP(SMALL('Error Check Table-Hidden'!B:B,ROW(C511)-3),ErrorCheckTable,4,FALSE)))</f>
        <v/>
      </c>
    </row>
    <row r="512" spans="2:4" x14ac:dyDescent="0.2">
      <c r="B512" s="67" t="str">
        <f t="shared" si="8"/>
        <v/>
      </c>
      <c r="C512" s="67" t="str">
        <f>IF(ISERROR(VLOOKUP(SMALL('Error Check Table-Hidden'!B:B,ROW(C512)-3),ErrorCheckTable,3,FALSE)), "",(VLOOKUP(SMALL('Error Check Table-Hidden'!B:B,ROW(C512)-3),ErrorCheckTable,3,FALSE)))</f>
        <v/>
      </c>
      <c r="D512" s="59" t="str">
        <f>IF(ISERROR(VLOOKUP(SMALL('Error Check Table-Hidden'!B:B,ROW(C512)-3),ErrorCheckTable,4,FALSE)), "",(VLOOKUP(SMALL('Error Check Table-Hidden'!B:B,ROW(C512)-3),ErrorCheckTable,4,FALSE)))</f>
        <v/>
      </c>
    </row>
    <row r="513" spans="2:4" x14ac:dyDescent="0.2">
      <c r="B513" s="67" t="str">
        <f t="shared" si="8"/>
        <v/>
      </c>
      <c r="C513" s="67" t="str">
        <f>IF(ISERROR(VLOOKUP(SMALL('Error Check Table-Hidden'!B:B,ROW(C513)-3),ErrorCheckTable,3,FALSE)), "",(VLOOKUP(SMALL('Error Check Table-Hidden'!B:B,ROW(C513)-3),ErrorCheckTable,3,FALSE)))</f>
        <v/>
      </c>
      <c r="D513" s="59" t="str">
        <f>IF(ISERROR(VLOOKUP(SMALL('Error Check Table-Hidden'!B:B,ROW(C513)-3),ErrorCheckTable,4,FALSE)), "",(VLOOKUP(SMALL('Error Check Table-Hidden'!B:B,ROW(C513)-3),ErrorCheckTable,4,FALSE)))</f>
        <v/>
      </c>
    </row>
    <row r="514" spans="2:4" x14ac:dyDescent="0.2">
      <c r="B514" s="67" t="str">
        <f t="shared" si="8"/>
        <v/>
      </c>
      <c r="C514" s="67" t="str">
        <f>IF(ISERROR(VLOOKUP(SMALL('Error Check Table-Hidden'!B:B,ROW(C514)-3),ErrorCheckTable,3,FALSE)), "",(VLOOKUP(SMALL('Error Check Table-Hidden'!B:B,ROW(C514)-3),ErrorCheckTable,3,FALSE)))</f>
        <v/>
      </c>
      <c r="D514" s="59" t="str">
        <f>IF(ISERROR(VLOOKUP(SMALL('Error Check Table-Hidden'!B:B,ROW(C514)-3),ErrorCheckTable,4,FALSE)), "",(VLOOKUP(SMALL('Error Check Table-Hidden'!B:B,ROW(C514)-3),ErrorCheckTable,4,FALSE)))</f>
        <v/>
      </c>
    </row>
    <row r="515" spans="2:4" x14ac:dyDescent="0.2">
      <c r="B515" s="67" t="str">
        <f t="shared" si="8"/>
        <v/>
      </c>
      <c r="C515" s="67" t="str">
        <f>IF(ISERROR(VLOOKUP(SMALL('Error Check Table-Hidden'!B:B,ROW(C515)-3),ErrorCheckTable,3,FALSE)), "",(VLOOKUP(SMALL('Error Check Table-Hidden'!B:B,ROW(C515)-3),ErrorCheckTable,3,FALSE)))</f>
        <v/>
      </c>
      <c r="D515" s="59" t="str">
        <f>IF(ISERROR(VLOOKUP(SMALL('Error Check Table-Hidden'!B:B,ROW(C515)-3),ErrorCheckTable,4,FALSE)), "",(VLOOKUP(SMALL('Error Check Table-Hidden'!B:B,ROW(C515)-3),ErrorCheckTable,4,FALSE)))</f>
        <v/>
      </c>
    </row>
    <row r="516" spans="2:4" x14ac:dyDescent="0.2">
      <c r="B516" s="67" t="str">
        <f t="shared" si="8"/>
        <v/>
      </c>
      <c r="C516" s="67" t="str">
        <f>IF(ISERROR(VLOOKUP(SMALL('Error Check Table-Hidden'!B:B,ROW(C516)-3),ErrorCheckTable,3,FALSE)), "",(VLOOKUP(SMALL('Error Check Table-Hidden'!B:B,ROW(C516)-3),ErrorCheckTable,3,FALSE)))</f>
        <v/>
      </c>
      <c r="D516" s="59" t="str">
        <f>IF(ISERROR(VLOOKUP(SMALL('Error Check Table-Hidden'!B:B,ROW(C516)-3),ErrorCheckTable,4,FALSE)), "",(VLOOKUP(SMALL('Error Check Table-Hidden'!B:B,ROW(C516)-3),ErrorCheckTable,4,FALSE)))</f>
        <v/>
      </c>
    </row>
    <row r="517" spans="2:4" x14ac:dyDescent="0.2">
      <c r="B517" s="67" t="str">
        <f t="shared" si="8"/>
        <v/>
      </c>
      <c r="C517" s="67" t="str">
        <f>IF(ISERROR(VLOOKUP(SMALL('Error Check Table-Hidden'!B:B,ROW(C517)-3),ErrorCheckTable,3,FALSE)), "",(VLOOKUP(SMALL('Error Check Table-Hidden'!B:B,ROW(C517)-3),ErrorCheckTable,3,FALSE)))</f>
        <v/>
      </c>
      <c r="D517" s="59" t="str">
        <f>IF(ISERROR(VLOOKUP(SMALL('Error Check Table-Hidden'!B:B,ROW(C517)-3),ErrorCheckTable,4,FALSE)), "",(VLOOKUP(SMALL('Error Check Table-Hidden'!B:B,ROW(C517)-3),ErrorCheckTable,4,FALSE)))</f>
        <v/>
      </c>
    </row>
    <row r="518" spans="2:4" x14ac:dyDescent="0.2">
      <c r="B518" s="67" t="str">
        <f t="shared" si="8"/>
        <v/>
      </c>
      <c r="C518" s="67" t="str">
        <f>IF(ISERROR(VLOOKUP(SMALL('Error Check Table-Hidden'!B:B,ROW(C518)-3),ErrorCheckTable,3,FALSE)), "",(VLOOKUP(SMALL('Error Check Table-Hidden'!B:B,ROW(C518)-3),ErrorCheckTable,3,FALSE)))</f>
        <v/>
      </c>
      <c r="D518" s="59" t="str">
        <f>IF(ISERROR(VLOOKUP(SMALL('Error Check Table-Hidden'!B:B,ROW(C518)-3),ErrorCheckTable,4,FALSE)), "",(VLOOKUP(SMALL('Error Check Table-Hidden'!B:B,ROW(C518)-3),ErrorCheckTable,4,FALSE)))</f>
        <v/>
      </c>
    </row>
    <row r="519" spans="2:4" x14ac:dyDescent="0.2">
      <c r="B519" s="67" t="str">
        <f t="shared" si="8"/>
        <v/>
      </c>
      <c r="C519" s="67" t="str">
        <f>IF(ISERROR(VLOOKUP(SMALL('Error Check Table-Hidden'!B:B,ROW(C519)-3),ErrorCheckTable,3,FALSE)), "",(VLOOKUP(SMALL('Error Check Table-Hidden'!B:B,ROW(C519)-3),ErrorCheckTable,3,FALSE)))</f>
        <v/>
      </c>
      <c r="D519" s="59" t="str">
        <f>IF(ISERROR(VLOOKUP(SMALL('Error Check Table-Hidden'!B:B,ROW(C519)-3),ErrorCheckTable,4,FALSE)), "",(VLOOKUP(SMALL('Error Check Table-Hidden'!B:B,ROW(C519)-3),ErrorCheckTable,4,FALSE)))</f>
        <v/>
      </c>
    </row>
    <row r="520" spans="2:4" x14ac:dyDescent="0.2">
      <c r="B520" s="67" t="str">
        <f t="shared" si="8"/>
        <v/>
      </c>
      <c r="C520" s="67" t="str">
        <f>IF(ISERROR(VLOOKUP(SMALL('Error Check Table-Hidden'!B:B,ROW(C520)-3),ErrorCheckTable,3,FALSE)), "",(VLOOKUP(SMALL('Error Check Table-Hidden'!B:B,ROW(C520)-3),ErrorCheckTable,3,FALSE)))</f>
        <v/>
      </c>
      <c r="D520" s="59" t="str">
        <f>IF(ISERROR(VLOOKUP(SMALL('Error Check Table-Hidden'!B:B,ROW(C520)-3),ErrorCheckTable,4,FALSE)), "",(VLOOKUP(SMALL('Error Check Table-Hidden'!B:B,ROW(C520)-3),ErrorCheckTable,4,FALSE)))</f>
        <v/>
      </c>
    </row>
    <row r="521" spans="2:4" x14ac:dyDescent="0.2">
      <c r="B521" s="67" t="str">
        <f t="shared" si="8"/>
        <v/>
      </c>
      <c r="C521" s="67" t="str">
        <f>IF(ISERROR(VLOOKUP(SMALL('Error Check Table-Hidden'!B:B,ROW(C521)-3),ErrorCheckTable,3,FALSE)), "",(VLOOKUP(SMALL('Error Check Table-Hidden'!B:B,ROW(C521)-3),ErrorCheckTable,3,FALSE)))</f>
        <v/>
      </c>
      <c r="D521" s="59" t="str">
        <f>IF(ISERROR(VLOOKUP(SMALL('Error Check Table-Hidden'!B:B,ROW(C521)-3),ErrorCheckTable,4,FALSE)), "",(VLOOKUP(SMALL('Error Check Table-Hidden'!B:B,ROW(C521)-3),ErrorCheckTable,4,FALSE)))</f>
        <v/>
      </c>
    </row>
    <row r="522" spans="2:4" x14ac:dyDescent="0.2">
      <c r="B522" s="67" t="str">
        <f t="shared" si="8"/>
        <v/>
      </c>
      <c r="C522" s="67" t="str">
        <f>IF(ISERROR(VLOOKUP(SMALL('Error Check Table-Hidden'!B:B,ROW(C522)-3),ErrorCheckTable,3,FALSE)), "",(VLOOKUP(SMALL('Error Check Table-Hidden'!B:B,ROW(C522)-3),ErrorCheckTable,3,FALSE)))</f>
        <v/>
      </c>
      <c r="D522" s="59" t="str">
        <f>IF(ISERROR(VLOOKUP(SMALL('Error Check Table-Hidden'!B:B,ROW(C522)-3),ErrorCheckTable,4,FALSE)), "",(VLOOKUP(SMALL('Error Check Table-Hidden'!B:B,ROW(C522)-3),ErrorCheckTable,4,FALSE)))</f>
        <v/>
      </c>
    </row>
    <row r="523" spans="2:4" x14ac:dyDescent="0.2">
      <c r="B523" s="67" t="str">
        <f t="shared" si="8"/>
        <v/>
      </c>
      <c r="C523" s="67" t="str">
        <f>IF(ISERROR(VLOOKUP(SMALL('Error Check Table-Hidden'!B:B,ROW(C523)-3),ErrorCheckTable,3,FALSE)), "",(VLOOKUP(SMALL('Error Check Table-Hidden'!B:B,ROW(C523)-3),ErrorCheckTable,3,FALSE)))</f>
        <v/>
      </c>
      <c r="D523" s="59" t="str">
        <f>IF(ISERROR(VLOOKUP(SMALL('Error Check Table-Hidden'!B:B,ROW(C523)-3),ErrorCheckTable,4,FALSE)), "",(VLOOKUP(SMALL('Error Check Table-Hidden'!B:B,ROW(C523)-3),ErrorCheckTable,4,FALSE)))</f>
        <v/>
      </c>
    </row>
    <row r="524" spans="2:4" x14ac:dyDescent="0.2">
      <c r="B524" s="67" t="str">
        <f t="shared" si="8"/>
        <v/>
      </c>
      <c r="C524" s="67" t="str">
        <f>IF(ISERROR(VLOOKUP(SMALL('Error Check Table-Hidden'!B:B,ROW(C524)-3),ErrorCheckTable,3,FALSE)), "",(VLOOKUP(SMALL('Error Check Table-Hidden'!B:B,ROW(C524)-3),ErrorCheckTable,3,FALSE)))</f>
        <v/>
      </c>
      <c r="D524" s="59" t="str">
        <f>IF(ISERROR(VLOOKUP(SMALL('Error Check Table-Hidden'!B:B,ROW(C524)-3),ErrorCheckTable,4,FALSE)), "",(VLOOKUP(SMALL('Error Check Table-Hidden'!B:B,ROW(C524)-3),ErrorCheckTable,4,FALSE)))</f>
        <v/>
      </c>
    </row>
    <row r="525" spans="2:4" x14ac:dyDescent="0.2">
      <c r="B525" s="67" t="str">
        <f t="shared" si="8"/>
        <v/>
      </c>
      <c r="C525" s="67" t="str">
        <f>IF(ISERROR(VLOOKUP(SMALL('Error Check Table-Hidden'!B:B,ROW(C525)-3),ErrorCheckTable,3,FALSE)), "",(VLOOKUP(SMALL('Error Check Table-Hidden'!B:B,ROW(C525)-3),ErrorCheckTable,3,FALSE)))</f>
        <v/>
      </c>
      <c r="D525" s="59" t="str">
        <f>IF(ISERROR(VLOOKUP(SMALL('Error Check Table-Hidden'!B:B,ROW(C525)-3),ErrorCheckTable,4,FALSE)), "",(VLOOKUP(SMALL('Error Check Table-Hidden'!B:B,ROW(C525)-3),ErrorCheckTable,4,FALSE)))</f>
        <v/>
      </c>
    </row>
    <row r="526" spans="2:4" x14ac:dyDescent="0.2">
      <c r="B526" s="67" t="str">
        <f t="shared" si="8"/>
        <v/>
      </c>
      <c r="C526" s="67" t="str">
        <f>IF(ISERROR(VLOOKUP(SMALL('Error Check Table-Hidden'!B:B,ROW(C526)-3),ErrorCheckTable,3,FALSE)), "",(VLOOKUP(SMALL('Error Check Table-Hidden'!B:B,ROW(C526)-3),ErrorCheckTable,3,FALSE)))</f>
        <v/>
      </c>
      <c r="D526" s="59" t="str">
        <f>IF(ISERROR(VLOOKUP(SMALL('Error Check Table-Hidden'!B:B,ROW(C526)-3),ErrorCheckTable,4,FALSE)), "",(VLOOKUP(SMALL('Error Check Table-Hidden'!B:B,ROW(C526)-3),ErrorCheckTable,4,FALSE)))</f>
        <v/>
      </c>
    </row>
    <row r="527" spans="2:4" x14ac:dyDescent="0.2">
      <c r="B527" s="67" t="str">
        <f t="shared" si="8"/>
        <v/>
      </c>
      <c r="C527" s="67" t="str">
        <f>IF(ISERROR(VLOOKUP(SMALL('Error Check Table-Hidden'!B:B,ROW(C527)-3),ErrorCheckTable,3,FALSE)), "",(VLOOKUP(SMALL('Error Check Table-Hidden'!B:B,ROW(C527)-3),ErrorCheckTable,3,FALSE)))</f>
        <v/>
      </c>
      <c r="D527" s="59" t="str">
        <f>IF(ISERROR(VLOOKUP(SMALL('Error Check Table-Hidden'!B:B,ROW(C527)-3),ErrorCheckTable,4,FALSE)), "",(VLOOKUP(SMALL('Error Check Table-Hidden'!B:B,ROW(C527)-3),ErrorCheckTable,4,FALSE)))</f>
        <v/>
      </c>
    </row>
    <row r="528" spans="2:4" x14ac:dyDescent="0.2">
      <c r="B528" s="67" t="str">
        <f t="shared" si="8"/>
        <v/>
      </c>
      <c r="C528" s="67" t="str">
        <f>IF(ISERROR(VLOOKUP(SMALL('Error Check Table-Hidden'!B:B,ROW(C528)-3),ErrorCheckTable,3,FALSE)), "",(VLOOKUP(SMALL('Error Check Table-Hidden'!B:B,ROW(C528)-3),ErrorCheckTable,3,FALSE)))</f>
        <v/>
      </c>
      <c r="D528" s="59" t="str">
        <f>IF(ISERROR(VLOOKUP(SMALL('Error Check Table-Hidden'!B:B,ROW(C528)-3),ErrorCheckTable,4,FALSE)), "",(VLOOKUP(SMALL('Error Check Table-Hidden'!B:B,ROW(C528)-3),ErrorCheckTable,4,FALSE)))</f>
        <v/>
      </c>
    </row>
    <row r="529" spans="2:4" x14ac:dyDescent="0.2">
      <c r="B529" s="67" t="str">
        <f t="shared" si="8"/>
        <v/>
      </c>
      <c r="C529" s="67" t="str">
        <f>IF(ISERROR(VLOOKUP(SMALL('Error Check Table-Hidden'!B:B,ROW(C529)-3),ErrorCheckTable,3,FALSE)), "",(VLOOKUP(SMALL('Error Check Table-Hidden'!B:B,ROW(C529)-3),ErrorCheckTable,3,FALSE)))</f>
        <v/>
      </c>
      <c r="D529" s="59" t="str">
        <f>IF(ISERROR(VLOOKUP(SMALL('Error Check Table-Hidden'!B:B,ROW(C529)-3),ErrorCheckTable,4,FALSE)), "",(VLOOKUP(SMALL('Error Check Table-Hidden'!B:B,ROW(C529)-3),ErrorCheckTable,4,FALSE)))</f>
        <v/>
      </c>
    </row>
    <row r="530" spans="2:4" x14ac:dyDescent="0.2">
      <c r="B530" s="67" t="str">
        <f t="shared" si="8"/>
        <v/>
      </c>
      <c r="C530" s="67" t="str">
        <f>IF(ISERROR(VLOOKUP(SMALL('Error Check Table-Hidden'!B:B,ROW(C530)-3),ErrorCheckTable,3,FALSE)), "",(VLOOKUP(SMALL('Error Check Table-Hidden'!B:B,ROW(C530)-3),ErrorCheckTable,3,FALSE)))</f>
        <v/>
      </c>
      <c r="D530" s="59" t="str">
        <f>IF(ISERROR(VLOOKUP(SMALL('Error Check Table-Hidden'!B:B,ROW(C530)-3),ErrorCheckTable,4,FALSE)), "",(VLOOKUP(SMALL('Error Check Table-Hidden'!B:B,ROW(C530)-3),ErrorCheckTable,4,FALSE)))</f>
        <v/>
      </c>
    </row>
    <row r="531" spans="2:4" x14ac:dyDescent="0.2">
      <c r="B531" s="67" t="str">
        <f t="shared" si="8"/>
        <v/>
      </c>
      <c r="C531" s="67" t="str">
        <f>IF(ISERROR(VLOOKUP(SMALL('Error Check Table-Hidden'!B:B,ROW(C531)-3),ErrorCheckTable,3,FALSE)), "",(VLOOKUP(SMALL('Error Check Table-Hidden'!B:B,ROW(C531)-3),ErrorCheckTable,3,FALSE)))</f>
        <v/>
      </c>
      <c r="D531" s="59" t="str">
        <f>IF(ISERROR(VLOOKUP(SMALL('Error Check Table-Hidden'!B:B,ROW(C531)-3),ErrorCheckTable,4,FALSE)), "",(VLOOKUP(SMALL('Error Check Table-Hidden'!B:B,ROW(C531)-3),ErrorCheckTable,4,FALSE)))</f>
        <v/>
      </c>
    </row>
    <row r="532" spans="2:4" x14ac:dyDescent="0.2">
      <c r="B532" s="67" t="str">
        <f t="shared" si="8"/>
        <v/>
      </c>
      <c r="C532" s="67" t="str">
        <f>IF(ISERROR(VLOOKUP(SMALL('Error Check Table-Hidden'!B:B,ROW(C532)-3),ErrorCheckTable,3,FALSE)), "",(VLOOKUP(SMALL('Error Check Table-Hidden'!B:B,ROW(C532)-3),ErrorCheckTable,3,FALSE)))</f>
        <v/>
      </c>
      <c r="D532" s="59" t="str">
        <f>IF(ISERROR(VLOOKUP(SMALL('Error Check Table-Hidden'!B:B,ROW(C532)-3),ErrorCheckTable,4,FALSE)), "",(VLOOKUP(SMALL('Error Check Table-Hidden'!B:B,ROW(C532)-3),ErrorCheckTable,4,FALSE)))</f>
        <v/>
      </c>
    </row>
    <row r="533" spans="2:4" x14ac:dyDescent="0.2">
      <c r="B533" s="67" t="str">
        <f t="shared" si="8"/>
        <v/>
      </c>
      <c r="C533" s="67" t="str">
        <f>IF(ISERROR(VLOOKUP(SMALL('Error Check Table-Hidden'!B:B,ROW(C533)-3),ErrorCheckTable,3,FALSE)), "",(VLOOKUP(SMALL('Error Check Table-Hidden'!B:B,ROW(C533)-3),ErrorCheckTable,3,FALSE)))</f>
        <v/>
      </c>
      <c r="D533" s="59" t="str">
        <f>IF(ISERROR(VLOOKUP(SMALL('Error Check Table-Hidden'!B:B,ROW(C533)-3),ErrorCheckTable,4,FALSE)), "",(VLOOKUP(SMALL('Error Check Table-Hidden'!B:B,ROW(C533)-3),ErrorCheckTable,4,FALSE)))</f>
        <v/>
      </c>
    </row>
    <row r="534" spans="2:4" x14ac:dyDescent="0.2">
      <c r="B534" s="67" t="str">
        <f t="shared" si="8"/>
        <v/>
      </c>
      <c r="C534" s="67" t="str">
        <f>IF(ISERROR(VLOOKUP(SMALL('Error Check Table-Hidden'!B:B,ROW(C534)-3),ErrorCheckTable,3,FALSE)), "",(VLOOKUP(SMALL('Error Check Table-Hidden'!B:B,ROW(C534)-3),ErrorCheckTable,3,FALSE)))</f>
        <v/>
      </c>
      <c r="D534" s="59" t="str">
        <f>IF(ISERROR(VLOOKUP(SMALL('Error Check Table-Hidden'!B:B,ROW(C534)-3),ErrorCheckTable,4,FALSE)), "",(VLOOKUP(SMALL('Error Check Table-Hidden'!B:B,ROW(C534)-3),ErrorCheckTable,4,FALSE)))</f>
        <v/>
      </c>
    </row>
    <row r="535" spans="2:4" x14ac:dyDescent="0.2">
      <c r="B535" s="67" t="str">
        <f t="shared" si="8"/>
        <v/>
      </c>
      <c r="C535" s="67" t="str">
        <f>IF(ISERROR(VLOOKUP(SMALL('Error Check Table-Hidden'!B:B,ROW(C535)-3),ErrorCheckTable,3,FALSE)), "",(VLOOKUP(SMALL('Error Check Table-Hidden'!B:B,ROW(C535)-3),ErrorCheckTable,3,FALSE)))</f>
        <v/>
      </c>
      <c r="D535" s="59" t="str">
        <f>IF(ISERROR(VLOOKUP(SMALL('Error Check Table-Hidden'!B:B,ROW(C535)-3),ErrorCheckTable,4,FALSE)), "",(VLOOKUP(SMALL('Error Check Table-Hidden'!B:B,ROW(C535)-3),ErrorCheckTable,4,FALSE)))</f>
        <v/>
      </c>
    </row>
    <row r="536" spans="2:4" x14ac:dyDescent="0.2">
      <c r="B536" s="67" t="str">
        <f t="shared" si="8"/>
        <v/>
      </c>
      <c r="C536" s="67" t="str">
        <f>IF(ISERROR(VLOOKUP(SMALL('Error Check Table-Hidden'!B:B,ROW(C536)-3),ErrorCheckTable,3,FALSE)), "",(VLOOKUP(SMALL('Error Check Table-Hidden'!B:B,ROW(C536)-3),ErrorCheckTable,3,FALSE)))</f>
        <v/>
      </c>
      <c r="D536" s="59" t="str">
        <f>IF(ISERROR(VLOOKUP(SMALL('Error Check Table-Hidden'!B:B,ROW(C536)-3),ErrorCheckTable,4,FALSE)), "",(VLOOKUP(SMALL('Error Check Table-Hidden'!B:B,ROW(C536)-3),ErrorCheckTable,4,FALSE)))</f>
        <v/>
      </c>
    </row>
    <row r="537" spans="2:4" x14ac:dyDescent="0.2">
      <c r="B537" s="67" t="str">
        <f t="shared" si="8"/>
        <v/>
      </c>
      <c r="C537" s="67" t="str">
        <f>IF(ISERROR(VLOOKUP(SMALL('Error Check Table-Hidden'!B:B,ROW(C537)-3),ErrorCheckTable,3,FALSE)), "",(VLOOKUP(SMALL('Error Check Table-Hidden'!B:B,ROW(C537)-3),ErrorCheckTable,3,FALSE)))</f>
        <v/>
      </c>
      <c r="D537" s="59" t="str">
        <f>IF(ISERROR(VLOOKUP(SMALL('Error Check Table-Hidden'!B:B,ROW(C537)-3),ErrorCheckTable,4,FALSE)), "",(VLOOKUP(SMALL('Error Check Table-Hidden'!B:B,ROW(C537)-3),ErrorCheckTable,4,FALSE)))</f>
        <v/>
      </c>
    </row>
    <row r="538" spans="2:4" x14ac:dyDescent="0.2">
      <c r="B538" s="67" t="str">
        <f t="shared" si="8"/>
        <v/>
      </c>
      <c r="C538" s="67" t="str">
        <f>IF(ISERROR(VLOOKUP(SMALL('Error Check Table-Hidden'!B:B,ROW(C538)-3),ErrorCheckTable,3,FALSE)), "",(VLOOKUP(SMALL('Error Check Table-Hidden'!B:B,ROW(C538)-3),ErrorCheckTable,3,FALSE)))</f>
        <v/>
      </c>
      <c r="D538" s="59" t="str">
        <f>IF(ISERROR(VLOOKUP(SMALL('Error Check Table-Hidden'!B:B,ROW(C538)-3),ErrorCheckTable,4,FALSE)), "",(VLOOKUP(SMALL('Error Check Table-Hidden'!B:B,ROW(C538)-3),ErrorCheckTable,4,FALSE)))</f>
        <v/>
      </c>
    </row>
    <row r="539" spans="2:4" x14ac:dyDescent="0.2">
      <c r="B539" s="67" t="str">
        <f t="shared" si="8"/>
        <v/>
      </c>
      <c r="C539" s="67" t="str">
        <f>IF(ISERROR(VLOOKUP(SMALL('Error Check Table-Hidden'!B:B,ROW(C539)-3),ErrorCheckTable,3,FALSE)), "",(VLOOKUP(SMALL('Error Check Table-Hidden'!B:B,ROW(C539)-3),ErrorCheckTable,3,FALSE)))</f>
        <v/>
      </c>
      <c r="D539" s="59" t="str">
        <f>IF(ISERROR(VLOOKUP(SMALL('Error Check Table-Hidden'!B:B,ROW(C539)-3),ErrorCheckTable,4,FALSE)), "",(VLOOKUP(SMALL('Error Check Table-Hidden'!B:B,ROW(C539)-3),ErrorCheckTable,4,FALSE)))</f>
        <v/>
      </c>
    </row>
    <row r="540" spans="2:4" x14ac:dyDescent="0.2">
      <c r="B540" s="67" t="str">
        <f t="shared" si="8"/>
        <v/>
      </c>
      <c r="C540" s="67" t="str">
        <f>IF(ISERROR(VLOOKUP(SMALL('Error Check Table-Hidden'!B:B,ROW(C540)-3),ErrorCheckTable,3,FALSE)), "",(VLOOKUP(SMALL('Error Check Table-Hidden'!B:B,ROW(C540)-3),ErrorCheckTable,3,FALSE)))</f>
        <v/>
      </c>
      <c r="D540" s="59" t="str">
        <f>IF(ISERROR(VLOOKUP(SMALL('Error Check Table-Hidden'!B:B,ROW(C540)-3),ErrorCheckTable,4,FALSE)), "",(VLOOKUP(SMALL('Error Check Table-Hidden'!B:B,ROW(C540)-3),ErrorCheckTable,4,FALSE)))</f>
        <v/>
      </c>
    </row>
    <row r="541" spans="2:4" x14ac:dyDescent="0.2">
      <c r="B541" s="67" t="str">
        <f t="shared" si="8"/>
        <v/>
      </c>
      <c r="C541" s="67" t="str">
        <f>IF(ISERROR(VLOOKUP(SMALL('Error Check Table-Hidden'!B:B,ROW(C541)-3),ErrorCheckTable,3,FALSE)), "",(VLOOKUP(SMALL('Error Check Table-Hidden'!B:B,ROW(C541)-3),ErrorCheckTable,3,FALSE)))</f>
        <v/>
      </c>
      <c r="D541" s="59" t="str">
        <f>IF(ISERROR(VLOOKUP(SMALL('Error Check Table-Hidden'!B:B,ROW(C541)-3),ErrorCheckTable,4,FALSE)), "",(VLOOKUP(SMALL('Error Check Table-Hidden'!B:B,ROW(C541)-3),ErrorCheckTable,4,FALSE)))</f>
        <v/>
      </c>
    </row>
    <row r="542" spans="2:4" x14ac:dyDescent="0.2">
      <c r="B542" s="67" t="str">
        <f t="shared" si="8"/>
        <v/>
      </c>
      <c r="C542" s="67" t="str">
        <f>IF(ISERROR(VLOOKUP(SMALL('Error Check Table-Hidden'!B:B,ROW(C542)-3),ErrorCheckTable,3,FALSE)), "",(VLOOKUP(SMALL('Error Check Table-Hidden'!B:B,ROW(C542)-3),ErrorCheckTable,3,FALSE)))</f>
        <v/>
      </c>
      <c r="D542" s="59" t="str">
        <f>IF(ISERROR(VLOOKUP(SMALL('Error Check Table-Hidden'!B:B,ROW(C542)-3),ErrorCheckTable,4,FALSE)), "",(VLOOKUP(SMALL('Error Check Table-Hidden'!B:B,ROW(C542)-3),ErrorCheckTable,4,FALSE)))</f>
        <v/>
      </c>
    </row>
    <row r="543" spans="2:4" x14ac:dyDescent="0.2">
      <c r="B543" s="67" t="str">
        <f t="shared" si="8"/>
        <v/>
      </c>
      <c r="C543" s="67" t="str">
        <f>IF(ISERROR(VLOOKUP(SMALL('Error Check Table-Hidden'!B:B,ROW(C543)-3),ErrorCheckTable,3,FALSE)), "",(VLOOKUP(SMALL('Error Check Table-Hidden'!B:B,ROW(C543)-3),ErrorCheckTable,3,FALSE)))</f>
        <v/>
      </c>
      <c r="D543" s="59" t="str">
        <f>IF(ISERROR(VLOOKUP(SMALL('Error Check Table-Hidden'!B:B,ROW(C543)-3),ErrorCheckTable,4,FALSE)), "",(VLOOKUP(SMALL('Error Check Table-Hidden'!B:B,ROW(C543)-3),ErrorCheckTable,4,FALSE)))</f>
        <v/>
      </c>
    </row>
    <row r="544" spans="2:4" x14ac:dyDescent="0.2">
      <c r="B544" s="67" t="str">
        <f t="shared" si="8"/>
        <v/>
      </c>
      <c r="C544" s="67" t="str">
        <f>IF(ISERROR(VLOOKUP(SMALL('Error Check Table-Hidden'!B:B,ROW(C544)-3),ErrorCheckTable,3,FALSE)), "",(VLOOKUP(SMALL('Error Check Table-Hidden'!B:B,ROW(C544)-3),ErrorCheckTable,3,FALSE)))</f>
        <v/>
      </c>
      <c r="D544" s="59" t="str">
        <f>IF(ISERROR(VLOOKUP(SMALL('Error Check Table-Hidden'!B:B,ROW(C544)-3),ErrorCheckTable,4,FALSE)), "",(VLOOKUP(SMALL('Error Check Table-Hidden'!B:B,ROW(C544)-3),ErrorCheckTable,4,FALSE)))</f>
        <v/>
      </c>
    </row>
    <row r="545" spans="2:4" x14ac:dyDescent="0.2">
      <c r="B545" s="67" t="str">
        <f t="shared" si="8"/>
        <v/>
      </c>
      <c r="C545" s="67" t="str">
        <f>IF(ISERROR(VLOOKUP(SMALL('Error Check Table-Hidden'!B:B,ROW(C545)-3),ErrorCheckTable,3,FALSE)), "",(VLOOKUP(SMALL('Error Check Table-Hidden'!B:B,ROW(C545)-3),ErrorCheckTable,3,FALSE)))</f>
        <v/>
      </c>
      <c r="D545" s="59" t="str">
        <f>IF(ISERROR(VLOOKUP(SMALL('Error Check Table-Hidden'!B:B,ROW(C545)-3),ErrorCheckTable,4,FALSE)), "",(VLOOKUP(SMALL('Error Check Table-Hidden'!B:B,ROW(C545)-3),ErrorCheckTable,4,FALSE)))</f>
        <v/>
      </c>
    </row>
    <row r="546" spans="2:4" x14ac:dyDescent="0.2">
      <c r="B546" s="67" t="str">
        <f t="shared" si="8"/>
        <v/>
      </c>
      <c r="C546" s="67" t="str">
        <f>IF(ISERROR(VLOOKUP(SMALL('Error Check Table-Hidden'!B:B,ROW(C546)-3),ErrorCheckTable,3,FALSE)), "",(VLOOKUP(SMALL('Error Check Table-Hidden'!B:B,ROW(C546)-3),ErrorCheckTable,3,FALSE)))</f>
        <v/>
      </c>
      <c r="D546" s="59" t="str">
        <f>IF(ISERROR(VLOOKUP(SMALL('Error Check Table-Hidden'!B:B,ROW(C546)-3),ErrorCheckTable,4,FALSE)), "",(VLOOKUP(SMALL('Error Check Table-Hidden'!B:B,ROW(C546)-3),ErrorCheckTable,4,FALSE)))</f>
        <v/>
      </c>
    </row>
    <row r="547" spans="2:4" x14ac:dyDescent="0.2">
      <c r="B547" s="67" t="str">
        <f t="shared" si="8"/>
        <v/>
      </c>
      <c r="C547" s="67" t="str">
        <f>IF(ISERROR(VLOOKUP(SMALL('Error Check Table-Hidden'!B:B,ROW(C547)-3),ErrorCheckTable,3,FALSE)), "",(VLOOKUP(SMALL('Error Check Table-Hidden'!B:B,ROW(C547)-3),ErrorCheckTable,3,FALSE)))</f>
        <v/>
      </c>
      <c r="D547" s="59" t="str">
        <f>IF(ISERROR(VLOOKUP(SMALL('Error Check Table-Hidden'!B:B,ROW(C547)-3),ErrorCheckTable,4,FALSE)), "",(VLOOKUP(SMALL('Error Check Table-Hidden'!B:B,ROW(C547)-3),ErrorCheckTable,4,FALSE)))</f>
        <v/>
      </c>
    </row>
    <row r="548" spans="2:4" x14ac:dyDescent="0.2">
      <c r="B548" s="67" t="str">
        <f t="shared" si="8"/>
        <v/>
      </c>
      <c r="C548" s="67" t="str">
        <f>IF(ISERROR(VLOOKUP(SMALL('Error Check Table-Hidden'!B:B,ROW(C548)-3),ErrorCheckTable,3,FALSE)), "",(VLOOKUP(SMALL('Error Check Table-Hidden'!B:B,ROW(C548)-3),ErrorCheckTable,3,FALSE)))</f>
        <v/>
      </c>
      <c r="D548" s="59" t="str">
        <f>IF(ISERROR(VLOOKUP(SMALL('Error Check Table-Hidden'!B:B,ROW(C548)-3),ErrorCheckTable,4,FALSE)), "",(VLOOKUP(SMALL('Error Check Table-Hidden'!B:B,ROW(C548)-3),ErrorCheckTable,4,FALSE)))</f>
        <v/>
      </c>
    </row>
    <row r="549" spans="2:4" x14ac:dyDescent="0.2">
      <c r="B549" s="67" t="str">
        <f t="shared" si="8"/>
        <v/>
      </c>
      <c r="C549" s="67" t="str">
        <f>IF(ISERROR(VLOOKUP(SMALL('Error Check Table-Hidden'!B:B,ROW(C549)-3),ErrorCheckTable,3,FALSE)), "",(VLOOKUP(SMALL('Error Check Table-Hidden'!B:B,ROW(C549)-3),ErrorCheckTable,3,FALSE)))</f>
        <v/>
      </c>
      <c r="D549" s="59" t="str">
        <f>IF(ISERROR(VLOOKUP(SMALL('Error Check Table-Hidden'!B:B,ROW(C549)-3),ErrorCheckTable,4,FALSE)), "",(VLOOKUP(SMALL('Error Check Table-Hidden'!B:B,ROW(C549)-3),ErrorCheckTable,4,FALSE)))</f>
        <v/>
      </c>
    </row>
    <row r="550" spans="2:4" x14ac:dyDescent="0.2">
      <c r="B550" s="67" t="str">
        <f t="shared" si="8"/>
        <v/>
      </c>
      <c r="C550" s="67" t="str">
        <f>IF(ISERROR(VLOOKUP(SMALL('Error Check Table-Hidden'!B:B,ROW(C550)-3),ErrorCheckTable,3,FALSE)), "",(VLOOKUP(SMALL('Error Check Table-Hidden'!B:B,ROW(C550)-3),ErrorCheckTable,3,FALSE)))</f>
        <v/>
      </c>
      <c r="D550" s="59" t="str">
        <f>IF(ISERROR(VLOOKUP(SMALL('Error Check Table-Hidden'!B:B,ROW(C550)-3),ErrorCheckTable,4,FALSE)), "",(VLOOKUP(SMALL('Error Check Table-Hidden'!B:B,ROW(C550)-3),ErrorCheckTable,4,FALSE)))</f>
        <v/>
      </c>
    </row>
    <row r="551" spans="2:4" x14ac:dyDescent="0.2">
      <c r="B551" s="67" t="str">
        <f t="shared" si="8"/>
        <v/>
      </c>
      <c r="C551" s="67" t="str">
        <f>IF(ISERROR(VLOOKUP(SMALL('Error Check Table-Hidden'!B:B,ROW(C551)-3),ErrorCheckTable,3,FALSE)), "",(VLOOKUP(SMALL('Error Check Table-Hidden'!B:B,ROW(C551)-3),ErrorCheckTable,3,FALSE)))</f>
        <v/>
      </c>
      <c r="D551" s="59" t="str">
        <f>IF(ISERROR(VLOOKUP(SMALL('Error Check Table-Hidden'!B:B,ROW(C551)-3),ErrorCheckTable,4,FALSE)), "",(VLOOKUP(SMALL('Error Check Table-Hidden'!B:B,ROW(C551)-3),ErrorCheckTable,4,FALSE)))</f>
        <v/>
      </c>
    </row>
    <row r="552" spans="2:4" x14ac:dyDescent="0.2">
      <c r="B552" s="67" t="str">
        <f t="shared" si="8"/>
        <v/>
      </c>
      <c r="C552" s="67" t="str">
        <f>IF(ISERROR(VLOOKUP(SMALL('Error Check Table-Hidden'!B:B,ROW(C552)-3),ErrorCheckTable,3,FALSE)), "",(VLOOKUP(SMALL('Error Check Table-Hidden'!B:B,ROW(C552)-3),ErrorCheckTable,3,FALSE)))</f>
        <v/>
      </c>
      <c r="D552" s="59" t="str">
        <f>IF(ISERROR(VLOOKUP(SMALL('Error Check Table-Hidden'!B:B,ROW(C552)-3),ErrorCheckTable,4,FALSE)), "",(VLOOKUP(SMALL('Error Check Table-Hidden'!B:B,ROW(C552)-3),ErrorCheckTable,4,FALSE)))</f>
        <v/>
      </c>
    </row>
    <row r="553" spans="2:4" x14ac:dyDescent="0.2">
      <c r="B553" s="67" t="str">
        <f t="shared" si="8"/>
        <v/>
      </c>
      <c r="C553" s="67" t="str">
        <f>IF(ISERROR(VLOOKUP(SMALL('Error Check Table-Hidden'!B:B,ROW(C553)-3),ErrorCheckTable,3,FALSE)), "",(VLOOKUP(SMALL('Error Check Table-Hidden'!B:B,ROW(C553)-3),ErrorCheckTable,3,FALSE)))</f>
        <v/>
      </c>
      <c r="D553" s="59" t="str">
        <f>IF(ISERROR(VLOOKUP(SMALL('Error Check Table-Hidden'!B:B,ROW(C553)-3),ErrorCheckTable,4,FALSE)), "",(VLOOKUP(SMALL('Error Check Table-Hidden'!B:B,ROW(C553)-3),ErrorCheckTable,4,FALSE)))</f>
        <v/>
      </c>
    </row>
    <row r="554" spans="2:4" x14ac:dyDescent="0.2">
      <c r="B554" s="67" t="str">
        <f t="shared" si="8"/>
        <v/>
      </c>
      <c r="C554" s="67" t="str">
        <f>IF(ISERROR(VLOOKUP(SMALL('Error Check Table-Hidden'!B:B,ROW(C554)-3),ErrorCheckTable,3,FALSE)), "",(VLOOKUP(SMALL('Error Check Table-Hidden'!B:B,ROW(C554)-3),ErrorCheckTable,3,FALSE)))</f>
        <v/>
      </c>
      <c r="D554" s="59" t="str">
        <f>IF(ISERROR(VLOOKUP(SMALL('Error Check Table-Hidden'!B:B,ROW(C554)-3),ErrorCheckTable,4,FALSE)), "",(VLOOKUP(SMALL('Error Check Table-Hidden'!B:B,ROW(C554)-3),ErrorCheckTable,4,FALSE)))</f>
        <v/>
      </c>
    </row>
    <row r="555" spans="2:4" x14ac:dyDescent="0.2">
      <c r="B555" s="67" t="str">
        <f t="shared" si="8"/>
        <v/>
      </c>
      <c r="C555" s="67" t="str">
        <f>IF(ISERROR(VLOOKUP(SMALL('Error Check Table-Hidden'!B:B,ROW(C555)-3),ErrorCheckTable,3,FALSE)), "",(VLOOKUP(SMALL('Error Check Table-Hidden'!B:B,ROW(C555)-3),ErrorCheckTable,3,FALSE)))</f>
        <v/>
      </c>
      <c r="D555" s="59" t="str">
        <f>IF(ISERROR(VLOOKUP(SMALL('Error Check Table-Hidden'!B:B,ROW(C555)-3),ErrorCheckTable,4,FALSE)), "",(VLOOKUP(SMALL('Error Check Table-Hidden'!B:B,ROW(C555)-3),ErrorCheckTable,4,FALSE)))</f>
        <v/>
      </c>
    </row>
    <row r="556" spans="2:4" x14ac:dyDescent="0.2">
      <c r="B556" s="67" t="str">
        <f t="shared" si="8"/>
        <v/>
      </c>
      <c r="C556" s="67" t="str">
        <f>IF(ISERROR(VLOOKUP(SMALL('Error Check Table-Hidden'!B:B,ROW(C556)-3),ErrorCheckTable,3,FALSE)), "",(VLOOKUP(SMALL('Error Check Table-Hidden'!B:B,ROW(C556)-3),ErrorCheckTable,3,FALSE)))</f>
        <v/>
      </c>
      <c r="D556" s="59" t="str">
        <f>IF(ISERROR(VLOOKUP(SMALL('Error Check Table-Hidden'!B:B,ROW(C556)-3),ErrorCheckTable,4,FALSE)), "",(VLOOKUP(SMALL('Error Check Table-Hidden'!B:B,ROW(C556)-3),ErrorCheckTable,4,FALSE)))</f>
        <v/>
      </c>
    </row>
    <row r="557" spans="2:4" x14ac:dyDescent="0.2">
      <c r="B557" s="67" t="str">
        <f t="shared" si="8"/>
        <v/>
      </c>
      <c r="C557" s="67" t="str">
        <f>IF(ISERROR(VLOOKUP(SMALL('Error Check Table-Hidden'!B:B,ROW(C557)-3),ErrorCheckTable,3,FALSE)), "",(VLOOKUP(SMALL('Error Check Table-Hidden'!B:B,ROW(C557)-3),ErrorCheckTable,3,FALSE)))</f>
        <v/>
      </c>
      <c r="D557" s="59" t="str">
        <f>IF(ISERROR(VLOOKUP(SMALL('Error Check Table-Hidden'!B:B,ROW(C557)-3),ErrorCheckTable,4,FALSE)), "",(VLOOKUP(SMALL('Error Check Table-Hidden'!B:B,ROW(C557)-3),ErrorCheckTable,4,FALSE)))</f>
        <v/>
      </c>
    </row>
    <row r="558" spans="2:4" x14ac:dyDescent="0.2">
      <c r="B558" s="67" t="str">
        <f t="shared" ref="B558:B621" si="9">IF(C558&lt;&gt;"",B557+1,"")</f>
        <v/>
      </c>
      <c r="C558" s="67" t="str">
        <f>IF(ISERROR(VLOOKUP(SMALL('Error Check Table-Hidden'!B:B,ROW(C558)-3),ErrorCheckTable,3,FALSE)), "",(VLOOKUP(SMALL('Error Check Table-Hidden'!B:B,ROW(C558)-3),ErrorCheckTable,3,FALSE)))</f>
        <v/>
      </c>
      <c r="D558" s="59" t="str">
        <f>IF(ISERROR(VLOOKUP(SMALL('Error Check Table-Hidden'!B:B,ROW(C558)-3),ErrorCheckTable,4,FALSE)), "",(VLOOKUP(SMALL('Error Check Table-Hidden'!B:B,ROW(C558)-3),ErrorCheckTable,4,FALSE)))</f>
        <v/>
      </c>
    </row>
    <row r="559" spans="2:4" x14ac:dyDescent="0.2">
      <c r="B559" s="67" t="str">
        <f t="shared" si="9"/>
        <v/>
      </c>
      <c r="C559" s="67" t="str">
        <f>IF(ISERROR(VLOOKUP(SMALL('Error Check Table-Hidden'!B:B,ROW(C559)-3),ErrorCheckTable,3,FALSE)), "",(VLOOKUP(SMALL('Error Check Table-Hidden'!B:B,ROW(C559)-3),ErrorCheckTable,3,FALSE)))</f>
        <v/>
      </c>
      <c r="D559" s="59" t="str">
        <f>IF(ISERROR(VLOOKUP(SMALL('Error Check Table-Hidden'!B:B,ROW(C559)-3),ErrorCheckTable,4,FALSE)), "",(VLOOKUP(SMALL('Error Check Table-Hidden'!B:B,ROW(C559)-3),ErrorCheckTable,4,FALSE)))</f>
        <v/>
      </c>
    </row>
    <row r="560" spans="2:4" x14ac:dyDescent="0.2">
      <c r="B560" s="67" t="str">
        <f t="shared" si="9"/>
        <v/>
      </c>
      <c r="C560" s="67" t="str">
        <f>IF(ISERROR(VLOOKUP(SMALL('Error Check Table-Hidden'!B:B,ROW(C560)-3),ErrorCheckTable,3,FALSE)), "",(VLOOKUP(SMALL('Error Check Table-Hidden'!B:B,ROW(C560)-3),ErrorCheckTable,3,FALSE)))</f>
        <v/>
      </c>
      <c r="D560" s="59" t="str">
        <f>IF(ISERROR(VLOOKUP(SMALL('Error Check Table-Hidden'!B:B,ROW(C560)-3),ErrorCheckTable,4,FALSE)), "",(VLOOKUP(SMALL('Error Check Table-Hidden'!B:B,ROW(C560)-3),ErrorCheckTable,4,FALSE)))</f>
        <v/>
      </c>
    </row>
    <row r="561" spans="2:4" x14ac:dyDescent="0.2">
      <c r="B561" s="67" t="str">
        <f t="shared" si="9"/>
        <v/>
      </c>
      <c r="C561" s="67" t="str">
        <f>IF(ISERROR(VLOOKUP(SMALL('Error Check Table-Hidden'!B:B,ROW(C561)-3),ErrorCheckTable,3,FALSE)), "",(VLOOKUP(SMALL('Error Check Table-Hidden'!B:B,ROW(C561)-3),ErrorCheckTable,3,FALSE)))</f>
        <v/>
      </c>
      <c r="D561" s="59" t="str">
        <f>IF(ISERROR(VLOOKUP(SMALL('Error Check Table-Hidden'!B:B,ROW(C561)-3),ErrorCheckTable,4,FALSE)), "",(VLOOKUP(SMALL('Error Check Table-Hidden'!B:B,ROW(C561)-3),ErrorCheckTable,4,FALSE)))</f>
        <v/>
      </c>
    </row>
    <row r="562" spans="2:4" x14ac:dyDescent="0.2">
      <c r="B562" s="67" t="str">
        <f t="shared" si="9"/>
        <v/>
      </c>
      <c r="C562" s="67" t="str">
        <f>IF(ISERROR(VLOOKUP(SMALL('Error Check Table-Hidden'!B:B,ROW(C562)-3),ErrorCheckTable,3,FALSE)), "",(VLOOKUP(SMALL('Error Check Table-Hidden'!B:B,ROW(C562)-3),ErrorCheckTable,3,FALSE)))</f>
        <v/>
      </c>
      <c r="D562" s="59" t="str">
        <f>IF(ISERROR(VLOOKUP(SMALL('Error Check Table-Hidden'!B:B,ROW(C562)-3),ErrorCheckTable,4,FALSE)), "",(VLOOKUP(SMALL('Error Check Table-Hidden'!B:B,ROW(C562)-3),ErrorCheckTable,4,FALSE)))</f>
        <v/>
      </c>
    </row>
    <row r="563" spans="2:4" x14ac:dyDescent="0.2">
      <c r="B563" s="67" t="str">
        <f t="shared" si="9"/>
        <v/>
      </c>
      <c r="C563" s="67" t="str">
        <f>IF(ISERROR(VLOOKUP(SMALL('Error Check Table-Hidden'!B:B,ROW(C563)-3),ErrorCheckTable,3,FALSE)), "",(VLOOKUP(SMALL('Error Check Table-Hidden'!B:B,ROW(C563)-3),ErrorCheckTable,3,FALSE)))</f>
        <v/>
      </c>
      <c r="D563" s="59" t="str">
        <f>IF(ISERROR(VLOOKUP(SMALL('Error Check Table-Hidden'!B:B,ROW(C563)-3),ErrorCheckTable,4,FALSE)), "",(VLOOKUP(SMALL('Error Check Table-Hidden'!B:B,ROW(C563)-3),ErrorCheckTable,4,FALSE)))</f>
        <v/>
      </c>
    </row>
    <row r="564" spans="2:4" x14ac:dyDescent="0.2">
      <c r="B564" s="67" t="str">
        <f t="shared" si="9"/>
        <v/>
      </c>
      <c r="C564" s="67" t="str">
        <f>IF(ISERROR(VLOOKUP(SMALL('Error Check Table-Hidden'!B:B,ROW(C564)-3),ErrorCheckTable,3,FALSE)), "",(VLOOKUP(SMALL('Error Check Table-Hidden'!B:B,ROW(C564)-3),ErrorCheckTable,3,FALSE)))</f>
        <v/>
      </c>
      <c r="D564" s="59" t="str">
        <f>IF(ISERROR(VLOOKUP(SMALL('Error Check Table-Hidden'!B:B,ROW(C564)-3),ErrorCheckTable,4,FALSE)), "",(VLOOKUP(SMALL('Error Check Table-Hidden'!B:B,ROW(C564)-3),ErrorCheckTable,4,FALSE)))</f>
        <v/>
      </c>
    </row>
    <row r="565" spans="2:4" x14ac:dyDescent="0.2">
      <c r="B565" s="67" t="str">
        <f t="shared" si="9"/>
        <v/>
      </c>
      <c r="C565" s="67" t="str">
        <f>IF(ISERROR(VLOOKUP(SMALL('Error Check Table-Hidden'!B:B,ROW(C565)-3),ErrorCheckTable,3,FALSE)), "",(VLOOKUP(SMALL('Error Check Table-Hidden'!B:B,ROW(C565)-3),ErrorCheckTable,3,FALSE)))</f>
        <v/>
      </c>
      <c r="D565" s="59" t="str">
        <f>IF(ISERROR(VLOOKUP(SMALL('Error Check Table-Hidden'!B:B,ROW(C565)-3),ErrorCheckTable,4,FALSE)), "",(VLOOKUP(SMALL('Error Check Table-Hidden'!B:B,ROW(C565)-3),ErrorCheckTable,4,FALSE)))</f>
        <v/>
      </c>
    </row>
    <row r="566" spans="2:4" x14ac:dyDescent="0.2">
      <c r="B566" s="67" t="str">
        <f t="shared" si="9"/>
        <v/>
      </c>
      <c r="C566" s="67" t="str">
        <f>IF(ISERROR(VLOOKUP(SMALL('Error Check Table-Hidden'!B:B,ROW(C566)-3),ErrorCheckTable,3,FALSE)), "",(VLOOKUP(SMALL('Error Check Table-Hidden'!B:B,ROW(C566)-3),ErrorCheckTable,3,FALSE)))</f>
        <v/>
      </c>
      <c r="D566" s="59" t="str">
        <f>IF(ISERROR(VLOOKUP(SMALL('Error Check Table-Hidden'!B:B,ROW(C566)-3),ErrorCheckTable,4,FALSE)), "",(VLOOKUP(SMALL('Error Check Table-Hidden'!B:B,ROW(C566)-3),ErrorCheckTable,4,FALSE)))</f>
        <v/>
      </c>
    </row>
    <row r="567" spans="2:4" x14ac:dyDescent="0.2">
      <c r="B567" s="67" t="str">
        <f t="shared" si="9"/>
        <v/>
      </c>
      <c r="C567" s="67" t="str">
        <f>IF(ISERROR(VLOOKUP(SMALL('Error Check Table-Hidden'!B:B,ROW(C567)-3),ErrorCheckTable,3,FALSE)), "",(VLOOKUP(SMALL('Error Check Table-Hidden'!B:B,ROW(C567)-3),ErrorCheckTable,3,FALSE)))</f>
        <v/>
      </c>
      <c r="D567" s="59" t="str">
        <f>IF(ISERROR(VLOOKUP(SMALL('Error Check Table-Hidden'!B:B,ROW(C567)-3),ErrorCheckTable,4,FALSE)), "",(VLOOKUP(SMALL('Error Check Table-Hidden'!B:B,ROW(C567)-3),ErrorCheckTable,4,FALSE)))</f>
        <v/>
      </c>
    </row>
    <row r="568" spans="2:4" x14ac:dyDescent="0.2">
      <c r="B568" s="67" t="str">
        <f t="shared" si="9"/>
        <v/>
      </c>
      <c r="C568" s="67" t="str">
        <f>IF(ISERROR(VLOOKUP(SMALL('Error Check Table-Hidden'!B:B,ROW(C568)-3),ErrorCheckTable,3,FALSE)), "",(VLOOKUP(SMALL('Error Check Table-Hidden'!B:B,ROW(C568)-3),ErrorCheckTable,3,FALSE)))</f>
        <v/>
      </c>
      <c r="D568" s="59" t="str">
        <f>IF(ISERROR(VLOOKUP(SMALL('Error Check Table-Hidden'!B:B,ROW(C568)-3),ErrorCheckTable,4,FALSE)), "",(VLOOKUP(SMALL('Error Check Table-Hidden'!B:B,ROW(C568)-3),ErrorCheckTable,4,FALSE)))</f>
        <v/>
      </c>
    </row>
    <row r="569" spans="2:4" x14ac:dyDescent="0.2">
      <c r="B569" s="67" t="str">
        <f t="shared" si="9"/>
        <v/>
      </c>
      <c r="C569" s="67" t="str">
        <f>IF(ISERROR(VLOOKUP(SMALL('Error Check Table-Hidden'!B:B,ROW(C569)-3),ErrorCheckTable,3,FALSE)), "",(VLOOKUP(SMALL('Error Check Table-Hidden'!B:B,ROW(C569)-3),ErrorCheckTable,3,FALSE)))</f>
        <v/>
      </c>
      <c r="D569" s="59" t="str">
        <f>IF(ISERROR(VLOOKUP(SMALL('Error Check Table-Hidden'!B:B,ROW(C569)-3),ErrorCheckTable,4,FALSE)), "",(VLOOKUP(SMALL('Error Check Table-Hidden'!B:B,ROW(C569)-3),ErrorCheckTable,4,FALSE)))</f>
        <v/>
      </c>
    </row>
    <row r="570" spans="2:4" x14ac:dyDescent="0.2">
      <c r="B570" s="67" t="str">
        <f t="shared" si="9"/>
        <v/>
      </c>
      <c r="C570" s="67" t="str">
        <f>IF(ISERROR(VLOOKUP(SMALL('Error Check Table-Hidden'!B:B,ROW(C570)-3),ErrorCheckTable,3,FALSE)), "",(VLOOKUP(SMALL('Error Check Table-Hidden'!B:B,ROW(C570)-3),ErrorCheckTable,3,FALSE)))</f>
        <v/>
      </c>
      <c r="D570" s="59" t="str">
        <f>IF(ISERROR(VLOOKUP(SMALL('Error Check Table-Hidden'!B:B,ROW(C570)-3),ErrorCheckTable,4,FALSE)), "",(VLOOKUP(SMALL('Error Check Table-Hidden'!B:B,ROW(C570)-3),ErrorCheckTable,4,FALSE)))</f>
        <v/>
      </c>
    </row>
    <row r="571" spans="2:4" x14ac:dyDescent="0.2">
      <c r="B571" s="67" t="str">
        <f t="shared" si="9"/>
        <v/>
      </c>
      <c r="C571" s="67" t="str">
        <f>IF(ISERROR(VLOOKUP(SMALL('Error Check Table-Hidden'!B:B,ROW(C571)-3),ErrorCheckTable,3,FALSE)), "",(VLOOKUP(SMALL('Error Check Table-Hidden'!B:B,ROW(C571)-3),ErrorCheckTable,3,FALSE)))</f>
        <v/>
      </c>
      <c r="D571" s="59" t="str">
        <f>IF(ISERROR(VLOOKUP(SMALL('Error Check Table-Hidden'!B:B,ROW(C571)-3),ErrorCheckTable,4,FALSE)), "",(VLOOKUP(SMALL('Error Check Table-Hidden'!B:B,ROW(C571)-3),ErrorCheckTable,4,FALSE)))</f>
        <v/>
      </c>
    </row>
    <row r="572" spans="2:4" x14ac:dyDescent="0.2">
      <c r="B572" s="67" t="str">
        <f t="shared" si="9"/>
        <v/>
      </c>
      <c r="C572" s="67" t="str">
        <f>IF(ISERROR(VLOOKUP(SMALL('Error Check Table-Hidden'!B:B,ROW(C572)-3),ErrorCheckTable,3,FALSE)), "",(VLOOKUP(SMALL('Error Check Table-Hidden'!B:B,ROW(C572)-3),ErrorCheckTable,3,FALSE)))</f>
        <v/>
      </c>
      <c r="D572" s="59" t="str">
        <f>IF(ISERROR(VLOOKUP(SMALL('Error Check Table-Hidden'!B:B,ROW(C572)-3),ErrorCheckTable,4,FALSE)), "",(VLOOKUP(SMALL('Error Check Table-Hidden'!B:B,ROW(C572)-3),ErrorCheckTable,4,FALSE)))</f>
        <v/>
      </c>
    </row>
    <row r="573" spans="2:4" x14ac:dyDescent="0.2">
      <c r="B573" s="67" t="str">
        <f t="shared" si="9"/>
        <v/>
      </c>
      <c r="C573" s="67" t="str">
        <f>IF(ISERROR(VLOOKUP(SMALL('Error Check Table-Hidden'!B:B,ROW(C573)-3),ErrorCheckTable,3,FALSE)), "",(VLOOKUP(SMALL('Error Check Table-Hidden'!B:B,ROW(C573)-3),ErrorCheckTable,3,FALSE)))</f>
        <v/>
      </c>
      <c r="D573" s="59" t="str">
        <f>IF(ISERROR(VLOOKUP(SMALL('Error Check Table-Hidden'!B:B,ROW(C573)-3),ErrorCheckTable,4,FALSE)), "",(VLOOKUP(SMALL('Error Check Table-Hidden'!B:B,ROW(C573)-3),ErrorCheckTable,4,FALSE)))</f>
        <v/>
      </c>
    </row>
    <row r="574" spans="2:4" x14ac:dyDescent="0.2">
      <c r="B574" s="67" t="str">
        <f t="shared" si="9"/>
        <v/>
      </c>
      <c r="C574" s="67" t="str">
        <f>IF(ISERROR(VLOOKUP(SMALL('Error Check Table-Hidden'!B:B,ROW(C574)-3),ErrorCheckTable,3,FALSE)), "",(VLOOKUP(SMALL('Error Check Table-Hidden'!B:B,ROW(C574)-3),ErrorCheckTable,3,FALSE)))</f>
        <v/>
      </c>
      <c r="D574" s="59" t="str">
        <f>IF(ISERROR(VLOOKUP(SMALL('Error Check Table-Hidden'!B:B,ROW(C574)-3),ErrorCheckTable,4,FALSE)), "",(VLOOKUP(SMALL('Error Check Table-Hidden'!B:B,ROW(C574)-3),ErrorCheckTable,4,FALSE)))</f>
        <v/>
      </c>
    </row>
    <row r="575" spans="2:4" x14ac:dyDescent="0.2">
      <c r="B575" s="67" t="str">
        <f t="shared" si="9"/>
        <v/>
      </c>
      <c r="C575" s="67" t="str">
        <f>IF(ISERROR(VLOOKUP(SMALL('Error Check Table-Hidden'!B:B,ROW(C575)-3),ErrorCheckTable,3,FALSE)), "",(VLOOKUP(SMALL('Error Check Table-Hidden'!B:B,ROW(C575)-3),ErrorCheckTable,3,FALSE)))</f>
        <v/>
      </c>
      <c r="D575" s="59" t="str">
        <f>IF(ISERROR(VLOOKUP(SMALL('Error Check Table-Hidden'!B:B,ROW(C575)-3),ErrorCheckTable,4,FALSE)), "",(VLOOKUP(SMALL('Error Check Table-Hidden'!B:B,ROW(C575)-3),ErrorCheckTable,4,FALSE)))</f>
        <v/>
      </c>
    </row>
    <row r="576" spans="2:4" x14ac:dyDescent="0.2">
      <c r="B576" s="67" t="str">
        <f t="shared" si="9"/>
        <v/>
      </c>
      <c r="C576" s="67" t="str">
        <f>IF(ISERROR(VLOOKUP(SMALL('Error Check Table-Hidden'!B:B,ROW(C576)-3),ErrorCheckTable,3,FALSE)), "",(VLOOKUP(SMALL('Error Check Table-Hidden'!B:B,ROW(C576)-3),ErrorCheckTable,3,FALSE)))</f>
        <v/>
      </c>
      <c r="D576" s="59" t="str">
        <f>IF(ISERROR(VLOOKUP(SMALL('Error Check Table-Hidden'!B:B,ROW(C576)-3),ErrorCheckTable,4,FALSE)), "",(VLOOKUP(SMALL('Error Check Table-Hidden'!B:B,ROW(C576)-3),ErrorCheckTable,4,FALSE)))</f>
        <v/>
      </c>
    </row>
    <row r="577" spans="2:4" x14ac:dyDescent="0.2">
      <c r="B577" s="67" t="str">
        <f t="shared" si="9"/>
        <v/>
      </c>
      <c r="C577" s="67" t="str">
        <f>IF(ISERROR(VLOOKUP(SMALL('Error Check Table-Hidden'!B:B,ROW(C577)-3),ErrorCheckTable,3,FALSE)), "",(VLOOKUP(SMALL('Error Check Table-Hidden'!B:B,ROW(C577)-3),ErrorCheckTable,3,FALSE)))</f>
        <v/>
      </c>
      <c r="D577" s="59" t="str">
        <f>IF(ISERROR(VLOOKUP(SMALL('Error Check Table-Hidden'!B:B,ROW(C577)-3),ErrorCheckTable,4,FALSE)), "",(VLOOKUP(SMALL('Error Check Table-Hidden'!B:B,ROW(C577)-3),ErrorCheckTable,4,FALSE)))</f>
        <v/>
      </c>
    </row>
    <row r="578" spans="2:4" x14ac:dyDescent="0.2">
      <c r="B578" s="67" t="str">
        <f t="shared" si="9"/>
        <v/>
      </c>
      <c r="C578" s="67" t="str">
        <f>IF(ISERROR(VLOOKUP(SMALL('Error Check Table-Hidden'!B:B,ROW(C578)-3),ErrorCheckTable,3,FALSE)), "",(VLOOKUP(SMALL('Error Check Table-Hidden'!B:B,ROW(C578)-3),ErrorCheckTable,3,FALSE)))</f>
        <v/>
      </c>
      <c r="D578" s="59" t="str">
        <f>IF(ISERROR(VLOOKUP(SMALL('Error Check Table-Hidden'!B:B,ROW(C578)-3),ErrorCheckTable,4,FALSE)), "",(VLOOKUP(SMALL('Error Check Table-Hidden'!B:B,ROW(C578)-3),ErrorCheckTable,4,FALSE)))</f>
        <v/>
      </c>
    </row>
    <row r="579" spans="2:4" x14ac:dyDescent="0.2">
      <c r="B579" s="67" t="str">
        <f t="shared" si="9"/>
        <v/>
      </c>
      <c r="C579" s="67" t="str">
        <f>IF(ISERROR(VLOOKUP(SMALL('Error Check Table-Hidden'!B:B,ROW(C579)-3),ErrorCheckTable,3,FALSE)), "",(VLOOKUP(SMALL('Error Check Table-Hidden'!B:B,ROW(C579)-3),ErrorCheckTable,3,FALSE)))</f>
        <v/>
      </c>
      <c r="D579" s="59" t="str">
        <f>IF(ISERROR(VLOOKUP(SMALL('Error Check Table-Hidden'!B:B,ROW(C579)-3),ErrorCheckTable,4,FALSE)), "",(VLOOKUP(SMALL('Error Check Table-Hidden'!B:B,ROW(C579)-3),ErrorCheckTable,4,FALSE)))</f>
        <v/>
      </c>
    </row>
    <row r="580" spans="2:4" x14ac:dyDescent="0.2">
      <c r="B580" s="67" t="str">
        <f t="shared" si="9"/>
        <v/>
      </c>
      <c r="C580" s="67" t="str">
        <f>IF(ISERROR(VLOOKUP(SMALL('Error Check Table-Hidden'!B:B,ROW(C580)-3),ErrorCheckTable,3,FALSE)), "",(VLOOKUP(SMALL('Error Check Table-Hidden'!B:B,ROW(C580)-3),ErrorCheckTable,3,FALSE)))</f>
        <v/>
      </c>
      <c r="D580" s="59" t="str">
        <f>IF(ISERROR(VLOOKUP(SMALL('Error Check Table-Hidden'!B:B,ROW(C580)-3),ErrorCheckTable,4,FALSE)), "",(VLOOKUP(SMALL('Error Check Table-Hidden'!B:B,ROW(C580)-3),ErrorCheckTable,4,FALSE)))</f>
        <v/>
      </c>
    </row>
    <row r="581" spans="2:4" x14ac:dyDescent="0.2">
      <c r="B581" s="67" t="str">
        <f t="shared" si="9"/>
        <v/>
      </c>
      <c r="C581" s="67" t="str">
        <f>IF(ISERROR(VLOOKUP(SMALL('Error Check Table-Hidden'!B:B,ROW(C581)-3),ErrorCheckTable,3,FALSE)), "",(VLOOKUP(SMALL('Error Check Table-Hidden'!B:B,ROW(C581)-3),ErrorCheckTable,3,FALSE)))</f>
        <v/>
      </c>
      <c r="D581" s="59" t="str">
        <f>IF(ISERROR(VLOOKUP(SMALL('Error Check Table-Hidden'!B:B,ROW(C581)-3),ErrorCheckTable,4,FALSE)), "",(VLOOKUP(SMALL('Error Check Table-Hidden'!B:B,ROW(C581)-3),ErrorCheckTable,4,FALSE)))</f>
        <v/>
      </c>
    </row>
    <row r="582" spans="2:4" x14ac:dyDescent="0.2">
      <c r="B582" s="67" t="str">
        <f t="shared" si="9"/>
        <v/>
      </c>
      <c r="C582" s="67" t="str">
        <f>IF(ISERROR(VLOOKUP(SMALL('Error Check Table-Hidden'!B:B,ROW(C582)-3),ErrorCheckTable,3,FALSE)), "",(VLOOKUP(SMALL('Error Check Table-Hidden'!B:B,ROW(C582)-3),ErrorCheckTable,3,FALSE)))</f>
        <v/>
      </c>
      <c r="D582" s="59" t="str">
        <f>IF(ISERROR(VLOOKUP(SMALL('Error Check Table-Hidden'!B:B,ROW(C582)-3),ErrorCheckTable,4,FALSE)), "",(VLOOKUP(SMALL('Error Check Table-Hidden'!B:B,ROW(C582)-3),ErrorCheckTable,4,FALSE)))</f>
        <v/>
      </c>
    </row>
    <row r="583" spans="2:4" x14ac:dyDescent="0.2">
      <c r="B583" s="67" t="str">
        <f t="shared" si="9"/>
        <v/>
      </c>
      <c r="C583" s="67" t="str">
        <f>IF(ISERROR(VLOOKUP(SMALL('Error Check Table-Hidden'!B:B,ROW(C583)-3),ErrorCheckTable,3,FALSE)), "",(VLOOKUP(SMALL('Error Check Table-Hidden'!B:B,ROW(C583)-3),ErrorCheckTable,3,FALSE)))</f>
        <v/>
      </c>
      <c r="D583" s="59" t="str">
        <f>IF(ISERROR(VLOOKUP(SMALL('Error Check Table-Hidden'!B:B,ROW(C583)-3),ErrorCheckTable,4,FALSE)), "",(VLOOKUP(SMALL('Error Check Table-Hidden'!B:B,ROW(C583)-3),ErrorCheckTable,4,FALSE)))</f>
        <v/>
      </c>
    </row>
    <row r="584" spans="2:4" x14ac:dyDescent="0.2">
      <c r="B584" s="67" t="str">
        <f t="shared" si="9"/>
        <v/>
      </c>
      <c r="C584" s="67" t="str">
        <f>IF(ISERROR(VLOOKUP(SMALL('Error Check Table-Hidden'!B:B,ROW(C584)-3),ErrorCheckTable,3,FALSE)), "",(VLOOKUP(SMALL('Error Check Table-Hidden'!B:B,ROW(C584)-3),ErrorCheckTable,3,FALSE)))</f>
        <v/>
      </c>
      <c r="D584" s="59" t="str">
        <f>IF(ISERROR(VLOOKUP(SMALL('Error Check Table-Hidden'!B:B,ROW(C584)-3),ErrorCheckTable,4,FALSE)), "",(VLOOKUP(SMALL('Error Check Table-Hidden'!B:B,ROW(C584)-3),ErrorCheckTable,4,FALSE)))</f>
        <v/>
      </c>
    </row>
    <row r="585" spans="2:4" x14ac:dyDescent="0.2">
      <c r="B585" s="67" t="str">
        <f t="shared" si="9"/>
        <v/>
      </c>
      <c r="C585" s="67" t="str">
        <f>IF(ISERROR(VLOOKUP(SMALL('Error Check Table-Hidden'!B:B,ROW(C585)-3),ErrorCheckTable,3,FALSE)), "",(VLOOKUP(SMALL('Error Check Table-Hidden'!B:B,ROW(C585)-3),ErrorCheckTable,3,FALSE)))</f>
        <v/>
      </c>
      <c r="D585" s="59" t="str">
        <f>IF(ISERROR(VLOOKUP(SMALL('Error Check Table-Hidden'!B:B,ROW(C585)-3),ErrorCheckTable,4,FALSE)), "",(VLOOKUP(SMALL('Error Check Table-Hidden'!B:B,ROW(C585)-3),ErrorCheckTable,4,FALSE)))</f>
        <v/>
      </c>
    </row>
    <row r="586" spans="2:4" x14ac:dyDescent="0.2">
      <c r="B586" s="67" t="str">
        <f t="shared" si="9"/>
        <v/>
      </c>
      <c r="C586" s="67" t="str">
        <f>IF(ISERROR(VLOOKUP(SMALL('Error Check Table-Hidden'!B:B,ROW(C586)-3),ErrorCheckTable,3,FALSE)), "",(VLOOKUP(SMALL('Error Check Table-Hidden'!B:B,ROW(C586)-3),ErrorCheckTable,3,FALSE)))</f>
        <v/>
      </c>
      <c r="D586" s="59" t="str">
        <f>IF(ISERROR(VLOOKUP(SMALL('Error Check Table-Hidden'!B:B,ROW(C586)-3),ErrorCheckTable,4,FALSE)), "",(VLOOKUP(SMALL('Error Check Table-Hidden'!B:B,ROW(C586)-3),ErrorCheckTable,4,FALSE)))</f>
        <v/>
      </c>
    </row>
    <row r="587" spans="2:4" x14ac:dyDescent="0.2">
      <c r="B587" s="67" t="str">
        <f t="shared" si="9"/>
        <v/>
      </c>
      <c r="C587" s="67" t="str">
        <f>IF(ISERROR(VLOOKUP(SMALL('Error Check Table-Hidden'!B:B,ROW(C587)-3),ErrorCheckTable,3,FALSE)), "",(VLOOKUP(SMALL('Error Check Table-Hidden'!B:B,ROW(C587)-3),ErrorCheckTable,3,FALSE)))</f>
        <v/>
      </c>
      <c r="D587" s="59" t="str">
        <f>IF(ISERROR(VLOOKUP(SMALL('Error Check Table-Hidden'!B:B,ROW(C587)-3),ErrorCheckTable,4,FALSE)), "",(VLOOKUP(SMALL('Error Check Table-Hidden'!B:B,ROW(C587)-3),ErrorCheckTable,4,FALSE)))</f>
        <v/>
      </c>
    </row>
    <row r="588" spans="2:4" x14ac:dyDescent="0.2">
      <c r="B588" s="67" t="str">
        <f t="shared" si="9"/>
        <v/>
      </c>
      <c r="C588" s="67" t="str">
        <f>IF(ISERROR(VLOOKUP(SMALL('Error Check Table-Hidden'!B:B,ROW(C588)-3),ErrorCheckTable,3,FALSE)), "",(VLOOKUP(SMALL('Error Check Table-Hidden'!B:B,ROW(C588)-3),ErrorCheckTable,3,FALSE)))</f>
        <v/>
      </c>
      <c r="D588" s="59" t="str">
        <f>IF(ISERROR(VLOOKUP(SMALL('Error Check Table-Hidden'!B:B,ROW(C588)-3),ErrorCheckTable,4,FALSE)), "",(VLOOKUP(SMALL('Error Check Table-Hidden'!B:B,ROW(C588)-3),ErrorCheckTable,4,FALSE)))</f>
        <v/>
      </c>
    </row>
    <row r="589" spans="2:4" x14ac:dyDescent="0.2">
      <c r="B589" s="67" t="str">
        <f t="shared" si="9"/>
        <v/>
      </c>
      <c r="C589" s="67" t="str">
        <f>IF(ISERROR(VLOOKUP(SMALL('Error Check Table-Hidden'!B:B,ROW(C589)-3),ErrorCheckTable,3,FALSE)), "",(VLOOKUP(SMALL('Error Check Table-Hidden'!B:B,ROW(C589)-3),ErrorCheckTable,3,FALSE)))</f>
        <v/>
      </c>
      <c r="D589" s="59" t="str">
        <f>IF(ISERROR(VLOOKUP(SMALL('Error Check Table-Hidden'!B:B,ROW(C589)-3),ErrorCheckTable,4,FALSE)), "",(VLOOKUP(SMALL('Error Check Table-Hidden'!B:B,ROW(C589)-3),ErrorCheckTable,4,FALSE)))</f>
        <v/>
      </c>
    </row>
    <row r="590" spans="2:4" x14ac:dyDescent="0.2">
      <c r="B590" s="67" t="str">
        <f t="shared" si="9"/>
        <v/>
      </c>
      <c r="C590" s="67" t="str">
        <f>IF(ISERROR(VLOOKUP(SMALL('Error Check Table-Hidden'!B:B,ROW(C590)-3),ErrorCheckTable,3,FALSE)), "",(VLOOKUP(SMALL('Error Check Table-Hidden'!B:B,ROW(C590)-3),ErrorCheckTable,3,FALSE)))</f>
        <v/>
      </c>
      <c r="D590" s="59" t="str">
        <f>IF(ISERROR(VLOOKUP(SMALL('Error Check Table-Hidden'!B:B,ROW(C590)-3),ErrorCheckTable,4,FALSE)), "",(VLOOKUP(SMALL('Error Check Table-Hidden'!B:B,ROW(C590)-3),ErrorCheckTable,4,FALSE)))</f>
        <v/>
      </c>
    </row>
    <row r="591" spans="2:4" x14ac:dyDescent="0.2">
      <c r="B591" s="67" t="str">
        <f t="shared" si="9"/>
        <v/>
      </c>
      <c r="C591" s="67" t="str">
        <f>IF(ISERROR(VLOOKUP(SMALL('Error Check Table-Hidden'!B:B,ROW(C591)-3),ErrorCheckTable,3,FALSE)), "",(VLOOKUP(SMALL('Error Check Table-Hidden'!B:B,ROW(C591)-3),ErrorCheckTable,3,FALSE)))</f>
        <v/>
      </c>
      <c r="D591" s="59" t="str">
        <f>IF(ISERROR(VLOOKUP(SMALL('Error Check Table-Hidden'!B:B,ROW(C591)-3),ErrorCheckTable,4,FALSE)), "",(VLOOKUP(SMALL('Error Check Table-Hidden'!B:B,ROW(C591)-3),ErrorCheckTable,4,FALSE)))</f>
        <v/>
      </c>
    </row>
    <row r="592" spans="2:4" x14ac:dyDescent="0.2">
      <c r="B592" s="67" t="str">
        <f t="shared" si="9"/>
        <v/>
      </c>
      <c r="C592" s="67" t="str">
        <f>IF(ISERROR(VLOOKUP(SMALL('Error Check Table-Hidden'!B:B,ROW(C592)-3),ErrorCheckTable,3,FALSE)), "",(VLOOKUP(SMALL('Error Check Table-Hidden'!B:B,ROW(C592)-3),ErrorCheckTable,3,FALSE)))</f>
        <v/>
      </c>
      <c r="D592" s="59" t="str">
        <f>IF(ISERROR(VLOOKUP(SMALL('Error Check Table-Hidden'!B:B,ROW(C592)-3),ErrorCheckTable,4,FALSE)), "",(VLOOKUP(SMALL('Error Check Table-Hidden'!B:B,ROW(C592)-3),ErrorCheckTable,4,FALSE)))</f>
        <v/>
      </c>
    </row>
    <row r="593" spans="2:4" x14ac:dyDescent="0.2">
      <c r="B593" s="67" t="str">
        <f t="shared" si="9"/>
        <v/>
      </c>
      <c r="C593" s="67" t="str">
        <f>IF(ISERROR(VLOOKUP(SMALL('Error Check Table-Hidden'!B:B,ROW(C593)-3),ErrorCheckTable,3,FALSE)), "",(VLOOKUP(SMALL('Error Check Table-Hidden'!B:B,ROW(C593)-3),ErrorCheckTable,3,FALSE)))</f>
        <v/>
      </c>
      <c r="D593" s="59" t="str">
        <f>IF(ISERROR(VLOOKUP(SMALL('Error Check Table-Hidden'!B:B,ROW(C593)-3),ErrorCheckTable,4,FALSE)), "",(VLOOKUP(SMALL('Error Check Table-Hidden'!B:B,ROW(C593)-3),ErrorCheckTable,4,FALSE)))</f>
        <v/>
      </c>
    </row>
    <row r="594" spans="2:4" x14ac:dyDescent="0.2">
      <c r="B594" s="67" t="str">
        <f t="shared" si="9"/>
        <v/>
      </c>
      <c r="C594" s="67" t="str">
        <f>IF(ISERROR(VLOOKUP(SMALL('Error Check Table-Hidden'!B:B,ROW(C594)-3),ErrorCheckTable,3,FALSE)), "",(VLOOKUP(SMALL('Error Check Table-Hidden'!B:B,ROW(C594)-3),ErrorCheckTable,3,FALSE)))</f>
        <v/>
      </c>
      <c r="D594" s="59" t="str">
        <f>IF(ISERROR(VLOOKUP(SMALL('Error Check Table-Hidden'!B:B,ROW(C594)-3),ErrorCheckTable,4,FALSE)), "",(VLOOKUP(SMALL('Error Check Table-Hidden'!B:B,ROW(C594)-3),ErrorCheckTable,4,FALSE)))</f>
        <v/>
      </c>
    </row>
    <row r="595" spans="2:4" x14ac:dyDescent="0.2">
      <c r="B595" s="67" t="str">
        <f t="shared" si="9"/>
        <v/>
      </c>
      <c r="C595" s="67" t="str">
        <f>IF(ISERROR(VLOOKUP(SMALL('Error Check Table-Hidden'!B:B,ROW(C595)-3),ErrorCheckTable,3,FALSE)), "",(VLOOKUP(SMALL('Error Check Table-Hidden'!B:B,ROW(C595)-3),ErrorCheckTable,3,FALSE)))</f>
        <v/>
      </c>
      <c r="D595" s="59" t="str">
        <f>IF(ISERROR(VLOOKUP(SMALL('Error Check Table-Hidden'!B:B,ROW(C595)-3),ErrorCheckTable,4,FALSE)), "",(VLOOKUP(SMALL('Error Check Table-Hidden'!B:B,ROW(C595)-3),ErrorCheckTable,4,FALSE)))</f>
        <v/>
      </c>
    </row>
    <row r="596" spans="2:4" x14ac:dyDescent="0.2">
      <c r="B596" s="67" t="str">
        <f t="shared" si="9"/>
        <v/>
      </c>
      <c r="C596" s="67" t="str">
        <f>IF(ISERROR(VLOOKUP(SMALL('Error Check Table-Hidden'!B:B,ROW(C596)-3),ErrorCheckTable,3,FALSE)), "",(VLOOKUP(SMALL('Error Check Table-Hidden'!B:B,ROW(C596)-3),ErrorCheckTable,3,FALSE)))</f>
        <v/>
      </c>
      <c r="D596" s="59" t="str">
        <f>IF(ISERROR(VLOOKUP(SMALL('Error Check Table-Hidden'!B:B,ROW(C596)-3),ErrorCheckTable,4,FALSE)), "",(VLOOKUP(SMALL('Error Check Table-Hidden'!B:B,ROW(C596)-3),ErrorCheckTable,4,FALSE)))</f>
        <v/>
      </c>
    </row>
    <row r="597" spans="2:4" x14ac:dyDescent="0.2">
      <c r="B597" s="67" t="str">
        <f t="shared" si="9"/>
        <v/>
      </c>
      <c r="C597" s="67" t="str">
        <f>IF(ISERROR(VLOOKUP(SMALL('Error Check Table-Hidden'!B:B,ROW(C597)-3),ErrorCheckTable,3,FALSE)), "",(VLOOKUP(SMALL('Error Check Table-Hidden'!B:B,ROW(C597)-3),ErrorCheckTable,3,FALSE)))</f>
        <v/>
      </c>
      <c r="D597" s="59" t="str">
        <f>IF(ISERROR(VLOOKUP(SMALL('Error Check Table-Hidden'!B:B,ROW(C597)-3),ErrorCheckTable,4,FALSE)), "",(VLOOKUP(SMALL('Error Check Table-Hidden'!B:B,ROW(C597)-3),ErrorCheckTable,4,FALSE)))</f>
        <v/>
      </c>
    </row>
    <row r="598" spans="2:4" x14ac:dyDescent="0.2">
      <c r="B598" s="67" t="str">
        <f t="shared" si="9"/>
        <v/>
      </c>
      <c r="C598" s="67" t="str">
        <f>IF(ISERROR(VLOOKUP(SMALL('Error Check Table-Hidden'!B:B,ROW(C598)-3),ErrorCheckTable,3,FALSE)), "",(VLOOKUP(SMALL('Error Check Table-Hidden'!B:B,ROW(C598)-3),ErrorCheckTable,3,FALSE)))</f>
        <v/>
      </c>
      <c r="D598" s="59" t="str">
        <f>IF(ISERROR(VLOOKUP(SMALL('Error Check Table-Hidden'!B:B,ROW(C598)-3),ErrorCheckTable,4,FALSE)), "",(VLOOKUP(SMALL('Error Check Table-Hidden'!B:B,ROW(C598)-3),ErrorCheckTable,4,FALSE)))</f>
        <v/>
      </c>
    </row>
    <row r="599" spans="2:4" x14ac:dyDescent="0.2">
      <c r="B599" s="67" t="str">
        <f t="shared" si="9"/>
        <v/>
      </c>
      <c r="C599" s="67" t="str">
        <f>IF(ISERROR(VLOOKUP(SMALL('Error Check Table-Hidden'!B:B,ROW(C599)-3),ErrorCheckTable,3,FALSE)), "",(VLOOKUP(SMALL('Error Check Table-Hidden'!B:B,ROW(C599)-3),ErrorCheckTable,3,FALSE)))</f>
        <v/>
      </c>
      <c r="D599" s="59" t="str">
        <f>IF(ISERROR(VLOOKUP(SMALL('Error Check Table-Hidden'!B:B,ROW(C599)-3),ErrorCheckTable,4,FALSE)), "",(VLOOKUP(SMALL('Error Check Table-Hidden'!B:B,ROW(C599)-3),ErrorCheckTable,4,FALSE)))</f>
        <v/>
      </c>
    </row>
    <row r="600" spans="2:4" x14ac:dyDescent="0.2">
      <c r="B600" s="67" t="str">
        <f t="shared" si="9"/>
        <v/>
      </c>
      <c r="C600" s="67" t="str">
        <f>IF(ISERROR(VLOOKUP(SMALL('Error Check Table-Hidden'!B:B,ROW(C600)-3),ErrorCheckTable,3,FALSE)), "",(VLOOKUP(SMALL('Error Check Table-Hidden'!B:B,ROW(C600)-3),ErrorCheckTable,3,FALSE)))</f>
        <v/>
      </c>
      <c r="D600" s="59" t="str">
        <f>IF(ISERROR(VLOOKUP(SMALL('Error Check Table-Hidden'!B:B,ROW(C600)-3),ErrorCheckTable,4,FALSE)), "",(VLOOKUP(SMALL('Error Check Table-Hidden'!B:B,ROW(C600)-3),ErrorCheckTable,4,FALSE)))</f>
        <v/>
      </c>
    </row>
    <row r="601" spans="2:4" x14ac:dyDescent="0.2">
      <c r="B601" s="67" t="str">
        <f t="shared" si="9"/>
        <v/>
      </c>
      <c r="C601" s="67" t="str">
        <f>IF(ISERROR(VLOOKUP(SMALL('Error Check Table-Hidden'!B:B,ROW(C601)-3),ErrorCheckTable,3,FALSE)), "",(VLOOKUP(SMALL('Error Check Table-Hidden'!B:B,ROW(C601)-3),ErrorCheckTable,3,FALSE)))</f>
        <v/>
      </c>
      <c r="D601" s="59" t="str">
        <f>IF(ISERROR(VLOOKUP(SMALL('Error Check Table-Hidden'!B:B,ROW(C601)-3),ErrorCheckTable,4,FALSE)), "",(VLOOKUP(SMALL('Error Check Table-Hidden'!B:B,ROW(C601)-3),ErrorCheckTable,4,FALSE)))</f>
        <v/>
      </c>
    </row>
    <row r="602" spans="2:4" x14ac:dyDescent="0.2">
      <c r="B602" s="67" t="str">
        <f t="shared" si="9"/>
        <v/>
      </c>
      <c r="C602" s="67" t="str">
        <f>IF(ISERROR(VLOOKUP(SMALL('Error Check Table-Hidden'!B:B,ROW(C602)-3),ErrorCheckTable,3,FALSE)), "",(VLOOKUP(SMALL('Error Check Table-Hidden'!B:B,ROW(C602)-3),ErrorCheckTable,3,FALSE)))</f>
        <v/>
      </c>
      <c r="D602" s="59" t="str">
        <f>IF(ISERROR(VLOOKUP(SMALL('Error Check Table-Hidden'!B:B,ROW(C602)-3),ErrorCheckTable,4,FALSE)), "",(VLOOKUP(SMALL('Error Check Table-Hidden'!B:B,ROW(C602)-3),ErrorCheckTable,4,FALSE)))</f>
        <v/>
      </c>
    </row>
    <row r="603" spans="2:4" x14ac:dyDescent="0.2">
      <c r="B603" s="67" t="str">
        <f t="shared" si="9"/>
        <v/>
      </c>
      <c r="C603" s="67" t="str">
        <f>IF(ISERROR(VLOOKUP(SMALL('Error Check Table-Hidden'!B:B,ROW(C603)-3),ErrorCheckTable,3,FALSE)), "",(VLOOKUP(SMALL('Error Check Table-Hidden'!B:B,ROW(C603)-3),ErrorCheckTable,3,FALSE)))</f>
        <v/>
      </c>
      <c r="D603" s="59" t="str">
        <f>IF(ISERROR(VLOOKUP(SMALL('Error Check Table-Hidden'!B:B,ROW(C603)-3),ErrorCheckTable,4,FALSE)), "",(VLOOKUP(SMALL('Error Check Table-Hidden'!B:B,ROW(C603)-3),ErrorCheckTable,4,FALSE)))</f>
        <v/>
      </c>
    </row>
    <row r="604" spans="2:4" x14ac:dyDescent="0.2">
      <c r="B604" s="67" t="str">
        <f t="shared" si="9"/>
        <v/>
      </c>
      <c r="C604" s="67" t="str">
        <f>IF(ISERROR(VLOOKUP(SMALL('Error Check Table-Hidden'!B:B,ROW(C604)-3),ErrorCheckTable,3,FALSE)), "",(VLOOKUP(SMALL('Error Check Table-Hidden'!B:B,ROW(C604)-3),ErrorCheckTable,3,FALSE)))</f>
        <v/>
      </c>
      <c r="D604" s="59" t="str">
        <f>IF(ISERROR(VLOOKUP(SMALL('Error Check Table-Hidden'!B:B,ROW(C604)-3),ErrorCheckTable,4,FALSE)), "",(VLOOKUP(SMALL('Error Check Table-Hidden'!B:B,ROW(C604)-3),ErrorCheckTable,4,FALSE)))</f>
        <v/>
      </c>
    </row>
    <row r="605" spans="2:4" x14ac:dyDescent="0.2">
      <c r="B605" s="67" t="str">
        <f t="shared" si="9"/>
        <v/>
      </c>
      <c r="C605" s="67" t="str">
        <f>IF(ISERROR(VLOOKUP(SMALL('Error Check Table-Hidden'!B:B,ROW(C605)-3),ErrorCheckTable,3,FALSE)), "",(VLOOKUP(SMALL('Error Check Table-Hidden'!B:B,ROW(C605)-3),ErrorCheckTable,3,FALSE)))</f>
        <v/>
      </c>
      <c r="D605" s="59" t="str">
        <f>IF(ISERROR(VLOOKUP(SMALL('Error Check Table-Hidden'!B:B,ROW(C605)-3),ErrorCheckTable,4,FALSE)), "",(VLOOKUP(SMALL('Error Check Table-Hidden'!B:B,ROW(C605)-3),ErrorCheckTable,4,FALSE)))</f>
        <v/>
      </c>
    </row>
    <row r="606" spans="2:4" x14ac:dyDescent="0.2">
      <c r="B606" s="67" t="str">
        <f t="shared" si="9"/>
        <v/>
      </c>
      <c r="C606" s="67" t="str">
        <f>IF(ISERROR(VLOOKUP(SMALL('Error Check Table-Hidden'!B:B,ROW(C606)-3),ErrorCheckTable,3,FALSE)), "",(VLOOKUP(SMALL('Error Check Table-Hidden'!B:B,ROW(C606)-3),ErrorCheckTable,3,FALSE)))</f>
        <v/>
      </c>
      <c r="D606" s="59" t="str">
        <f>IF(ISERROR(VLOOKUP(SMALL('Error Check Table-Hidden'!B:B,ROW(C606)-3),ErrorCheckTable,4,FALSE)), "",(VLOOKUP(SMALL('Error Check Table-Hidden'!B:B,ROW(C606)-3),ErrorCheckTable,4,FALSE)))</f>
        <v/>
      </c>
    </row>
    <row r="607" spans="2:4" x14ac:dyDescent="0.2">
      <c r="B607" s="67" t="str">
        <f t="shared" si="9"/>
        <v/>
      </c>
      <c r="C607" s="67" t="str">
        <f>IF(ISERROR(VLOOKUP(SMALL('Error Check Table-Hidden'!B:B,ROW(C607)-3),ErrorCheckTable,3,FALSE)), "",(VLOOKUP(SMALL('Error Check Table-Hidden'!B:B,ROW(C607)-3),ErrorCheckTable,3,FALSE)))</f>
        <v/>
      </c>
      <c r="D607" s="59" t="str">
        <f>IF(ISERROR(VLOOKUP(SMALL('Error Check Table-Hidden'!B:B,ROW(C607)-3),ErrorCheckTable,4,FALSE)), "",(VLOOKUP(SMALL('Error Check Table-Hidden'!B:B,ROW(C607)-3),ErrorCheckTable,4,FALSE)))</f>
        <v/>
      </c>
    </row>
    <row r="608" spans="2:4" x14ac:dyDescent="0.2">
      <c r="B608" s="67" t="str">
        <f t="shared" si="9"/>
        <v/>
      </c>
      <c r="C608" s="67" t="str">
        <f>IF(ISERROR(VLOOKUP(SMALL('Error Check Table-Hidden'!B:B,ROW(C608)-3),ErrorCheckTable,3,FALSE)), "",(VLOOKUP(SMALL('Error Check Table-Hidden'!B:B,ROW(C608)-3),ErrorCheckTable,3,FALSE)))</f>
        <v/>
      </c>
      <c r="D608" s="59" t="str">
        <f>IF(ISERROR(VLOOKUP(SMALL('Error Check Table-Hidden'!B:B,ROW(C608)-3),ErrorCheckTable,4,FALSE)), "",(VLOOKUP(SMALL('Error Check Table-Hidden'!B:B,ROW(C608)-3),ErrorCheckTable,4,FALSE)))</f>
        <v/>
      </c>
    </row>
    <row r="609" spans="2:4" x14ac:dyDescent="0.2">
      <c r="B609" s="67" t="str">
        <f t="shared" si="9"/>
        <v/>
      </c>
      <c r="C609" s="67" t="str">
        <f>IF(ISERROR(VLOOKUP(SMALL('Error Check Table-Hidden'!B:B,ROW(C609)-3),ErrorCheckTable,3,FALSE)), "",(VLOOKUP(SMALL('Error Check Table-Hidden'!B:B,ROW(C609)-3),ErrorCheckTable,3,FALSE)))</f>
        <v/>
      </c>
      <c r="D609" s="59" t="str">
        <f>IF(ISERROR(VLOOKUP(SMALL('Error Check Table-Hidden'!B:B,ROW(C609)-3),ErrorCheckTable,4,FALSE)), "",(VLOOKUP(SMALL('Error Check Table-Hidden'!B:B,ROW(C609)-3),ErrorCheckTable,4,FALSE)))</f>
        <v/>
      </c>
    </row>
    <row r="610" spans="2:4" x14ac:dyDescent="0.2">
      <c r="B610" s="67" t="str">
        <f t="shared" si="9"/>
        <v/>
      </c>
      <c r="C610" s="67" t="str">
        <f>IF(ISERROR(VLOOKUP(SMALL('Error Check Table-Hidden'!B:B,ROW(C610)-3),ErrorCheckTable,3,FALSE)), "",(VLOOKUP(SMALL('Error Check Table-Hidden'!B:B,ROW(C610)-3),ErrorCheckTable,3,FALSE)))</f>
        <v/>
      </c>
      <c r="D610" s="59" t="str">
        <f>IF(ISERROR(VLOOKUP(SMALL('Error Check Table-Hidden'!B:B,ROW(C610)-3),ErrorCheckTable,4,FALSE)), "",(VLOOKUP(SMALL('Error Check Table-Hidden'!B:B,ROW(C610)-3),ErrorCheckTable,4,FALSE)))</f>
        <v/>
      </c>
    </row>
    <row r="611" spans="2:4" x14ac:dyDescent="0.2">
      <c r="B611" s="67" t="str">
        <f t="shared" si="9"/>
        <v/>
      </c>
      <c r="C611" s="67" t="str">
        <f>IF(ISERROR(VLOOKUP(SMALL('Error Check Table-Hidden'!B:B,ROW(C611)-3),ErrorCheckTable,3,FALSE)), "",(VLOOKUP(SMALL('Error Check Table-Hidden'!B:B,ROW(C611)-3),ErrorCheckTable,3,FALSE)))</f>
        <v/>
      </c>
      <c r="D611" s="59" t="str">
        <f>IF(ISERROR(VLOOKUP(SMALL('Error Check Table-Hidden'!B:B,ROW(C611)-3),ErrorCheckTable,4,FALSE)), "",(VLOOKUP(SMALL('Error Check Table-Hidden'!B:B,ROW(C611)-3),ErrorCheckTable,4,FALSE)))</f>
        <v/>
      </c>
    </row>
    <row r="612" spans="2:4" x14ac:dyDescent="0.2">
      <c r="B612" s="67" t="str">
        <f t="shared" si="9"/>
        <v/>
      </c>
      <c r="C612" s="67" t="str">
        <f>IF(ISERROR(VLOOKUP(SMALL('Error Check Table-Hidden'!B:B,ROW(C612)-3),ErrorCheckTable,3,FALSE)), "",(VLOOKUP(SMALL('Error Check Table-Hidden'!B:B,ROW(C612)-3),ErrorCheckTable,3,FALSE)))</f>
        <v/>
      </c>
      <c r="D612" s="59" t="str">
        <f>IF(ISERROR(VLOOKUP(SMALL('Error Check Table-Hidden'!B:B,ROW(C612)-3),ErrorCheckTable,4,FALSE)), "",(VLOOKUP(SMALL('Error Check Table-Hidden'!B:B,ROW(C612)-3),ErrorCheckTable,4,FALSE)))</f>
        <v/>
      </c>
    </row>
    <row r="613" spans="2:4" x14ac:dyDescent="0.2">
      <c r="B613" s="67" t="str">
        <f t="shared" si="9"/>
        <v/>
      </c>
      <c r="C613" s="67" t="str">
        <f>IF(ISERROR(VLOOKUP(SMALL('Error Check Table-Hidden'!B:B,ROW(C613)-3),ErrorCheckTable,3,FALSE)), "",(VLOOKUP(SMALL('Error Check Table-Hidden'!B:B,ROW(C613)-3),ErrorCheckTable,3,FALSE)))</f>
        <v/>
      </c>
      <c r="D613" s="59" t="str">
        <f>IF(ISERROR(VLOOKUP(SMALL('Error Check Table-Hidden'!B:B,ROW(C613)-3),ErrorCheckTable,4,FALSE)), "",(VLOOKUP(SMALL('Error Check Table-Hidden'!B:B,ROW(C613)-3),ErrorCheckTable,4,FALSE)))</f>
        <v/>
      </c>
    </row>
    <row r="614" spans="2:4" x14ac:dyDescent="0.2">
      <c r="B614" s="67" t="str">
        <f t="shared" si="9"/>
        <v/>
      </c>
      <c r="C614" s="67" t="str">
        <f>IF(ISERROR(VLOOKUP(SMALL('Error Check Table-Hidden'!B:B,ROW(C614)-3),ErrorCheckTable,3,FALSE)), "",(VLOOKUP(SMALL('Error Check Table-Hidden'!B:B,ROW(C614)-3),ErrorCheckTable,3,FALSE)))</f>
        <v/>
      </c>
      <c r="D614" s="59" t="str">
        <f>IF(ISERROR(VLOOKUP(SMALL('Error Check Table-Hidden'!B:B,ROW(C614)-3),ErrorCheckTable,4,FALSE)), "",(VLOOKUP(SMALL('Error Check Table-Hidden'!B:B,ROW(C614)-3),ErrorCheckTable,4,FALSE)))</f>
        <v/>
      </c>
    </row>
    <row r="615" spans="2:4" x14ac:dyDescent="0.2">
      <c r="B615" s="67" t="str">
        <f t="shared" si="9"/>
        <v/>
      </c>
      <c r="C615" s="67" t="str">
        <f>IF(ISERROR(VLOOKUP(SMALL('Error Check Table-Hidden'!B:B,ROW(C615)-3),ErrorCheckTable,3,FALSE)), "",(VLOOKUP(SMALL('Error Check Table-Hidden'!B:B,ROW(C615)-3),ErrorCheckTable,3,FALSE)))</f>
        <v/>
      </c>
      <c r="D615" s="59" t="str">
        <f>IF(ISERROR(VLOOKUP(SMALL('Error Check Table-Hidden'!B:B,ROW(C615)-3),ErrorCheckTable,4,FALSE)), "",(VLOOKUP(SMALL('Error Check Table-Hidden'!B:B,ROW(C615)-3),ErrorCheckTable,4,FALSE)))</f>
        <v/>
      </c>
    </row>
    <row r="616" spans="2:4" x14ac:dyDescent="0.2">
      <c r="B616" s="67" t="str">
        <f t="shared" si="9"/>
        <v/>
      </c>
      <c r="C616" s="67" t="str">
        <f>IF(ISERROR(VLOOKUP(SMALL('Error Check Table-Hidden'!B:B,ROW(C616)-3),ErrorCheckTable,3,FALSE)), "",(VLOOKUP(SMALL('Error Check Table-Hidden'!B:B,ROW(C616)-3),ErrorCheckTable,3,FALSE)))</f>
        <v/>
      </c>
      <c r="D616" s="59" t="str">
        <f>IF(ISERROR(VLOOKUP(SMALL('Error Check Table-Hidden'!B:B,ROW(C616)-3),ErrorCheckTable,4,FALSE)), "",(VLOOKUP(SMALL('Error Check Table-Hidden'!B:B,ROW(C616)-3),ErrorCheckTable,4,FALSE)))</f>
        <v/>
      </c>
    </row>
    <row r="617" spans="2:4" x14ac:dyDescent="0.2">
      <c r="B617" s="67" t="str">
        <f t="shared" si="9"/>
        <v/>
      </c>
      <c r="C617" s="67" t="str">
        <f>IF(ISERROR(VLOOKUP(SMALL('Error Check Table-Hidden'!B:B,ROW(C617)-3),ErrorCheckTable,3,FALSE)), "",(VLOOKUP(SMALL('Error Check Table-Hidden'!B:B,ROW(C617)-3),ErrorCheckTable,3,FALSE)))</f>
        <v/>
      </c>
      <c r="D617" s="59" t="str">
        <f>IF(ISERROR(VLOOKUP(SMALL('Error Check Table-Hidden'!B:B,ROW(C617)-3),ErrorCheckTable,4,FALSE)), "",(VLOOKUP(SMALL('Error Check Table-Hidden'!B:B,ROW(C617)-3),ErrorCheckTable,4,FALSE)))</f>
        <v/>
      </c>
    </row>
    <row r="618" spans="2:4" x14ac:dyDescent="0.2">
      <c r="B618" s="67" t="str">
        <f t="shared" si="9"/>
        <v/>
      </c>
      <c r="C618" s="67" t="str">
        <f>IF(ISERROR(VLOOKUP(SMALL('Error Check Table-Hidden'!B:B,ROW(C618)-3),ErrorCheckTable,3,FALSE)), "",(VLOOKUP(SMALL('Error Check Table-Hidden'!B:B,ROW(C618)-3),ErrorCheckTable,3,FALSE)))</f>
        <v/>
      </c>
      <c r="D618" s="59" t="str">
        <f>IF(ISERROR(VLOOKUP(SMALL('Error Check Table-Hidden'!B:B,ROW(C618)-3),ErrorCheckTable,4,FALSE)), "",(VLOOKUP(SMALL('Error Check Table-Hidden'!B:B,ROW(C618)-3),ErrorCheckTable,4,FALSE)))</f>
        <v/>
      </c>
    </row>
    <row r="619" spans="2:4" x14ac:dyDescent="0.2">
      <c r="B619" s="67" t="str">
        <f t="shared" si="9"/>
        <v/>
      </c>
      <c r="C619" s="67" t="str">
        <f>IF(ISERROR(VLOOKUP(SMALL('Error Check Table-Hidden'!B:B,ROW(C619)-3),ErrorCheckTable,3,FALSE)), "",(VLOOKUP(SMALL('Error Check Table-Hidden'!B:B,ROW(C619)-3),ErrorCheckTable,3,FALSE)))</f>
        <v/>
      </c>
      <c r="D619" s="59" t="str">
        <f>IF(ISERROR(VLOOKUP(SMALL('Error Check Table-Hidden'!B:B,ROW(C619)-3),ErrorCheckTable,4,FALSE)), "",(VLOOKUP(SMALL('Error Check Table-Hidden'!B:B,ROW(C619)-3),ErrorCheckTable,4,FALSE)))</f>
        <v/>
      </c>
    </row>
    <row r="620" spans="2:4" x14ac:dyDescent="0.2">
      <c r="B620" s="67" t="str">
        <f t="shared" si="9"/>
        <v/>
      </c>
      <c r="C620" s="67" t="str">
        <f>IF(ISERROR(VLOOKUP(SMALL('Error Check Table-Hidden'!B:B,ROW(C620)-3),ErrorCheckTable,3,FALSE)), "",(VLOOKUP(SMALL('Error Check Table-Hidden'!B:B,ROW(C620)-3),ErrorCheckTable,3,FALSE)))</f>
        <v/>
      </c>
      <c r="D620" s="59" t="str">
        <f>IF(ISERROR(VLOOKUP(SMALL('Error Check Table-Hidden'!B:B,ROW(C620)-3),ErrorCheckTable,4,FALSE)), "",(VLOOKUP(SMALL('Error Check Table-Hidden'!B:B,ROW(C620)-3),ErrorCheckTable,4,FALSE)))</f>
        <v/>
      </c>
    </row>
    <row r="621" spans="2:4" x14ac:dyDescent="0.2">
      <c r="B621" s="67" t="str">
        <f t="shared" si="9"/>
        <v/>
      </c>
      <c r="C621" s="67" t="str">
        <f>IF(ISERROR(VLOOKUP(SMALL('Error Check Table-Hidden'!B:B,ROW(C621)-3),ErrorCheckTable,3,FALSE)), "",(VLOOKUP(SMALL('Error Check Table-Hidden'!B:B,ROW(C621)-3),ErrorCheckTable,3,FALSE)))</f>
        <v/>
      </c>
      <c r="D621" s="59" t="str">
        <f>IF(ISERROR(VLOOKUP(SMALL('Error Check Table-Hidden'!B:B,ROW(C621)-3),ErrorCheckTable,4,FALSE)), "",(VLOOKUP(SMALL('Error Check Table-Hidden'!B:B,ROW(C621)-3),ErrorCheckTable,4,FALSE)))</f>
        <v/>
      </c>
    </row>
    <row r="622" spans="2:4" x14ac:dyDescent="0.2">
      <c r="B622" s="67" t="str">
        <f t="shared" ref="B622:B685" si="10">IF(C622&lt;&gt;"",B621+1,"")</f>
        <v/>
      </c>
      <c r="C622" s="67" t="str">
        <f>IF(ISERROR(VLOOKUP(SMALL('Error Check Table-Hidden'!B:B,ROW(C622)-3),ErrorCheckTable,3,FALSE)), "",(VLOOKUP(SMALL('Error Check Table-Hidden'!B:B,ROW(C622)-3),ErrorCheckTable,3,FALSE)))</f>
        <v/>
      </c>
      <c r="D622" s="59" t="str">
        <f>IF(ISERROR(VLOOKUP(SMALL('Error Check Table-Hidden'!B:B,ROW(C622)-3),ErrorCheckTable,4,FALSE)), "",(VLOOKUP(SMALL('Error Check Table-Hidden'!B:B,ROW(C622)-3),ErrorCheckTable,4,FALSE)))</f>
        <v/>
      </c>
    </row>
    <row r="623" spans="2:4" x14ac:dyDescent="0.2">
      <c r="B623" s="67" t="str">
        <f t="shared" si="10"/>
        <v/>
      </c>
      <c r="C623" s="67" t="str">
        <f>IF(ISERROR(VLOOKUP(SMALL('Error Check Table-Hidden'!B:B,ROW(C623)-3),ErrorCheckTable,3,FALSE)), "",(VLOOKUP(SMALL('Error Check Table-Hidden'!B:B,ROW(C623)-3),ErrorCheckTable,3,FALSE)))</f>
        <v/>
      </c>
      <c r="D623" s="59" t="str">
        <f>IF(ISERROR(VLOOKUP(SMALL('Error Check Table-Hidden'!B:B,ROW(C623)-3),ErrorCheckTable,4,FALSE)), "",(VLOOKUP(SMALL('Error Check Table-Hidden'!B:B,ROW(C623)-3),ErrorCheckTable,4,FALSE)))</f>
        <v/>
      </c>
    </row>
    <row r="624" spans="2:4" x14ac:dyDescent="0.2">
      <c r="B624" s="67" t="str">
        <f t="shared" si="10"/>
        <v/>
      </c>
      <c r="C624" s="67" t="str">
        <f>IF(ISERROR(VLOOKUP(SMALL('Error Check Table-Hidden'!B:B,ROW(C624)-3),ErrorCheckTable,3,FALSE)), "",(VLOOKUP(SMALL('Error Check Table-Hidden'!B:B,ROW(C624)-3),ErrorCheckTable,3,FALSE)))</f>
        <v/>
      </c>
      <c r="D624" s="59" t="str">
        <f>IF(ISERROR(VLOOKUP(SMALL('Error Check Table-Hidden'!B:B,ROW(C624)-3),ErrorCheckTable,4,FALSE)), "",(VLOOKUP(SMALL('Error Check Table-Hidden'!B:B,ROW(C624)-3),ErrorCheckTable,4,FALSE)))</f>
        <v/>
      </c>
    </row>
    <row r="625" spans="2:4" x14ac:dyDescent="0.2">
      <c r="B625" s="67" t="str">
        <f t="shared" si="10"/>
        <v/>
      </c>
      <c r="C625" s="67" t="str">
        <f>IF(ISERROR(VLOOKUP(SMALL('Error Check Table-Hidden'!B:B,ROW(C625)-3),ErrorCheckTable,3,FALSE)), "",(VLOOKUP(SMALL('Error Check Table-Hidden'!B:B,ROW(C625)-3),ErrorCheckTable,3,FALSE)))</f>
        <v/>
      </c>
      <c r="D625" s="59" t="str">
        <f>IF(ISERROR(VLOOKUP(SMALL('Error Check Table-Hidden'!B:B,ROW(C625)-3),ErrorCheckTable,4,FALSE)), "",(VLOOKUP(SMALL('Error Check Table-Hidden'!B:B,ROW(C625)-3),ErrorCheckTable,4,FALSE)))</f>
        <v/>
      </c>
    </row>
    <row r="626" spans="2:4" x14ac:dyDescent="0.2">
      <c r="B626" s="67" t="str">
        <f t="shared" si="10"/>
        <v/>
      </c>
      <c r="C626" s="67" t="str">
        <f>IF(ISERROR(VLOOKUP(SMALL('Error Check Table-Hidden'!B:B,ROW(C626)-3),ErrorCheckTable,3,FALSE)), "",(VLOOKUP(SMALL('Error Check Table-Hidden'!B:B,ROW(C626)-3),ErrorCheckTable,3,FALSE)))</f>
        <v/>
      </c>
      <c r="D626" s="59" t="str">
        <f>IF(ISERROR(VLOOKUP(SMALL('Error Check Table-Hidden'!B:B,ROW(C626)-3),ErrorCheckTable,4,FALSE)), "",(VLOOKUP(SMALL('Error Check Table-Hidden'!B:B,ROW(C626)-3),ErrorCheckTable,4,FALSE)))</f>
        <v/>
      </c>
    </row>
    <row r="627" spans="2:4" x14ac:dyDescent="0.2">
      <c r="B627" s="67" t="str">
        <f t="shared" si="10"/>
        <v/>
      </c>
      <c r="C627" s="67" t="str">
        <f>IF(ISERROR(VLOOKUP(SMALL('Error Check Table-Hidden'!B:B,ROW(C627)-3),ErrorCheckTable,3,FALSE)), "",(VLOOKUP(SMALL('Error Check Table-Hidden'!B:B,ROW(C627)-3),ErrorCheckTable,3,FALSE)))</f>
        <v/>
      </c>
      <c r="D627" s="59" t="str">
        <f>IF(ISERROR(VLOOKUP(SMALL('Error Check Table-Hidden'!B:B,ROW(C627)-3),ErrorCheckTable,4,FALSE)), "",(VLOOKUP(SMALL('Error Check Table-Hidden'!B:B,ROW(C627)-3),ErrorCheckTable,4,FALSE)))</f>
        <v/>
      </c>
    </row>
    <row r="628" spans="2:4" x14ac:dyDescent="0.2">
      <c r="B628" s="67" t="str">
        <f t="shared" si="10"/>
        <v/>
      </c>
      <c r="C628" s="67" t="str">
        <f>IF(ISERROR(VLOOKUP(SMALL('Error Check Table-Hidden'!B:B,ROW(C628)-3),ErrorCheckTable,3,FALSE)), "",(VLOOKUP(SMALL('Error Check Table-Hidden'!B:B,ROW(C628)-3),ErrorCheckTable,3,FALSE)))</f>
        <v/>
      </c>
      <c r="D628" s="59" t="str">
        <f>IF(ISERROR(VLOOKUP(SMALL('Error Check Table-Hidden'!B:B,ROW(C628)-3),ErrorCheckTable,4,FALSE)), "",(VLOOKUP(SMALL('Error Check Table-Hidden'!B:B,ROW(C628)-3),ErrorCheckTable,4,FALSE)))</f>
        <v/>
      </c>
    </row>
    <row r="629" spans="2:4" x14ac:dyDescent="0.2">
      <c r="B629" s="67" t="str">
        <f t="shared" si="10"/>
        <v/>
      </c>
      <c r="C629" s="67" t="str">
        <f>IF(ISERROR(VLOOKUP(SMALL('Error Check Table-Hidden'!B:B,ROW(C629)-3),ErrorCheckTable,3,FALSE)), "",(VLOOKUP(SMALL('Error Check Table-Hidden'!B:B,ROW(C629)-3),ErrorCheckTable,3,FALSE)))</f>
        <v/>
      </c>
      <c r="D629" s="59" t="str">
        <f>IF(ISERROR(VLOOKUP(SMALL('Error Check Table-Hidden'!B:B,ROW(C629)-3),ErrorCheckTable,4,FALSE)), "",(VLOOKUP(SMALL('Error Check Table-Hidden'!B:B,ROW(C629)-3),ErrorCheckTable,4,FALSE)))</f>
        <v/>
      </c>
    </row>
    <row r="630" spans="2:4" x14ac:dyDescent="0.2">
      <c r="B630" s="67" t="str">
        <f t="shared" si="10"/>
        <v/>
      </c>
      <c r="C630" s="67" t="str">
        <f>IF(ISERROR(VLOOKUP(SMALL('Error Check Table-Hidden'!B:B,ROW(C630)-3),ErrorCheckTable,3,FALSE)), "",(VLOOKUP(SMALL('Error Check Table-Hidden'!B:B,ROW(C630)-3),ErrorCheckTable,3,FALSE)))</f>
        <v/>
      </c>
      <c r="D630" s="59" t="str">
        <f>IF(ISERROR(VLOOKUP(SMALL('Error Check Table-Hidden'!B:B,ROW(C630)-3),ErrorCheckTable,4,FALSE)), "",(VLOOKUP(SMALL('Error Check Table-Hidden'!B:B,ROW(C630)-3),ErrorCheckTable,4,FALSE)))</f>
        <v/>
      </c>
    </row>
    <row r="631" spans="2:4" x14ac:dyDescent="0.2">
      <c r="B631" s="67" t="str">
        <f t="shared" si="10"/>
        <v/>
      </c>
      <c r="C631" s="67" t="str">
        <f>IF(ISERROR(VLOOKUP(SMALL('Error Check Table-Hidden'!B:B,ROW(C631)-3),ErrorCheckTable,3,FALSE)), "",(VLOOKUP(SMALL('Error Check Table-Hidden'!B:B,ROW(C631)-3),ErrorCheckTable,3,FALSE)))</f>
        <v/>
      </c>
      <c r="D631" s="59" t="str">
        <f>IF(ISERROR(VLOOKUP(SMALL('Error Check Table-Hidden'!B:B,ROW(C631)-3),ErrorCheckTable,4,FALSE)), "",(VLOOKUP(SMALL('Error Check Table-Hidden'!B:B,ROW(C631)-3),ErrorCheckTable,4,FALSE)))</f>
        <v/>
      </c>
    </row>
    <row r="632" spans="2:4" x14ac:dyDescent="0.2">
      <c r="B632" s="67" t="str">
        <f t="shared" si="10"/>
        <v/>
      </c>
      <c r="C632" s="67" t="str">
        <f>IF(ISERROR(VLOOKUP(SMALL('Error Check Table-Hidden'!B:B,ROW(C632)-3),ErrorCheckTable,3,FALSE)), "",(VLOOKUP(SMALL('Error Check Table-Hidden'!B:B,ROW(C632)-3),ErrorCheckTable,3,FALSE)))</f>
        <v/>
      </c>
      <c r="D632" s="59" t="str">
        <f>IF(ISERROR(VLOOKUP(SMALL('Error Check Table-Hidden'!B:B,ROW(C632)-3),ErrorCheckTable,4,FALSE)), "",(VLOOKUP(SMALL('Error Check Table-Hidden'!B:B,ROW(C632)-3),ErrorCheckTable,4,FALSE)))</f>
        <v/>
      </c>
    </row>
    <row r="633" spans="2:4" x14ac:dyDescent="0.2">
      <c r="B633" s="67" t="str">
        <f t="shared" si="10"/>
        <v/>
      </c>
      <c r="C633" s="67" t="str">
        <f>IF(ISERROR(VLOOKUP(SMALL('Error Check Table-Hidden'!B:B,ROW(C633)-3),ErrorCheckTable,3,FALSE)), "",(VLOOKUP(SMALL('Error Check Table-Hidden'!B:B,ROW(C633)-3),ErrorCheckTable,3,FALSE)))</f>
        <v/>
      </c>
      <c r="D633" s="59" t="str">
        <f>IF(ISERROR(VLOOKUP(SMALL('Error Check Table-Hidden'!B:B,ROW(C633)-3),ErrorCheckTable,4,FALSE)), "",(VLOOKUP(SMALL('Error Check Table-Hidden'!B:B,ROW(C633)-3),ErrorCheckTable,4,FALSE)))</f>
        <v/>
      </c>
    </row>
    <row r="634" spans="2:4" x14ac:dyDescent="0.2">
      <c r="B634" s="67" t="str">
        <f t="shared" si="10"/>
        <v/>
      </c>
      <c r="C634" s="67" t="str">
        <f>IF(ISERROR(VLOOKUP(SMALL('Error Check Table-Hidden'!B:B,ROW(C634)-3),ErrorCheckTable,3,FALSE)), "",(VLOOKUP(SMALL('Error Check Table-Hidden'!B:B,ROW(C634)-3),ErrorCheckTable,3,FALSE)))</f>
        <v/>
      </c>
      <c r="D634" s="59" t="str">
        <f>IF(ISERROR(VLOOKUP(SMALL('Error Check Table-Hidden'!B:B,ROW(C634)-3),ErrorCheckTable,4,FALSE)), "",(VLOOKUP(SMALL('Error Check Table-Hidden'!B:B,ROW(C634)-3),ErrorCheckTable,4,FALSE)))</f>
        <v/>
      </c>
    </row>
    <row r="635" spans="2:4" x14ac:dyDescent="0.2">
      <c r="B635" s="67" t="str">
        <f t="shared" si="10"/>
        <v/>
      </c>
      <c r="C635" s="67" t="str">
        <f>IF(ISERROR(VLOOKUP(SMALL('Error Check Table-Hidden'!B:B,ROW(C635)-3),ErrorCheckTable,3,FALSE)), "",(VLOOKUP(SMALL('Error Check Table-Hidden'!B:B,ROW(C635)-3),ErrorCheckTable,3,FALSE)))</f>
        <v/>
      </c>
      <c r="D635" s="59" t="str">
        <f>IF(ISERROR(VLOOKUP(SMALL('Error Check Table-Hidden'!B:B,ROW(C635)-3),ErrorCheckTable,4,FALSE)), "",(VLOOKUP(SMALL('Error Check Table-Hidden'!B:B,ROW(C635)-3),ErrorCheckTable,4,FALSE)))</f>
        <v/>
      </c>
    </row>
    <row r="636" spans="2:4" x14ac:dyDescent="0.2">
      <c r="B636" s="67" t="str">
        <f t="shared" si="10"/>
        <v/>
      </c>
      <c r="C636" s="67" t="str">
        <f>IF(ISERROR(VLOOKUP(SMALL('Error Check Table-Hidden'!B:B,ROW(C636)-3),ErrorCheckTable,3,FALSE)), "",(VLOOKUP(SMALL('Error Check Table-Hidden'!B:B,ROW(C636)-3),ErrorCheckTable,3,FALSE)))</f>
        <v/>
      </c>
      <c r="D636" s="59" t="str">
        <f>IF(ISERROR(VLOOKUP(SMALL('Error Check Table-Hidden'!B:B,ROW(C636)-3),ErrorCheckTable,4,FALSE)), "",(VLOOKUP(SMALL('Error Check Table-Hidden'!B:B,ROW(C636)-3),ErrorCheckTable,4,FALSE)))</f>
        <v/>
      </c>
    </row>
    <row r="637" spans="2:4" x14ac:dyDescent="0.2">
      <c r="B637" s="67" t="str">
        <f t="shared" si="10"/>
        <v/>
      </c>
      <c r="C637" s="67" t="str">
        <f>IF(ISERROR(VLOOKUP(SMALL('Error Check Table-Hidden'!B:B,ROW(C637)-3),ErrorCheckTable,3,FALSE)), "",(VLOOKUP(SMALL('Error Check Table-Hidden'!B:B,ROW(C637)-3),ErrorCheckTable,3,FALSE)))</f>
        <v/>
      </c>
      <c r="D637" s="59" t="str">
        <f>IF(ISERROR(VLOOKUP(SMALL('Error Check Table-Hidden'!B:B,ROW(C637)-3),ErrorCheckTable,4,FALSE)), "",(VLOOKUP(SMALL('Error Check Table-Hidden'!B:B,ROW(C637)-3),ErrorCheckTable,4,FALSE)))</f>
        <v/>
      </c>
    </row>
    <row r="638" spans="2:4" x14ac:dyDescent="0.2">
      <c r="B638" s="67" t="str">
        <f t="shared" si="10"/>
        <v/>
      </c>
      <c r="C638" s="67" t="str">
        <f>IF(ISERROR(VLOOKUP(SMALL('Error Check Table-Hidden'!B:B,ROW(C638)-3),ErrorCheckTable,3,FALSE)), "",(VLOOKUP(SMALL('Error Check Table-Hidden'!B:B,ROW(C638)-3),ErrorCheckTable,3,FALSE)))</f>
        <v/>
      </c>
      <c r="D638" s="59" t="str">
        <f>IF(ISERROR(VLOOKUP(SMALL('Error Check Table-Hidden'!B:B,ROW(C638)-3),ErrorCheckTable,4,FALSE)), "",(VLOOKUP(SMALL('Error Check Table-Hidden'!B:B,ROW(C638)-3),ErrorCheckTable,4,FALSE)))</f>
        <v/>
      </c>
    </row>
    <row r="639" spans="2:4" x14ac:dyDescent="0.2">
      <c r="B639" s="67" t="str">
        <f t="shared" si="10"/>
        <v/>
      </c>
      <c r="C639" s="67" t="str">
        <f>IF(ISERROR(VLOOKUP(SMALL('Error Check Table-Hidden'!B:B,ROW(C639)-3),ErrorCheckTable,3,FALSE)), "",(VLOOKUP(SMALL('Error Check Table-Hidden'!B:B,ROW(C639)-3),ErrorCheckTable,3,FALSE)))</f>
        <v/>
      </c>
      <c r="D639" s="59" t="str">
        <f>IF(ISERROR(VLOOKUP(SMALL('Error Check Table-Hidden'!B:B,ROW(C639)-3),ErrorCheckTable,4,FALSE)), "",(VLOOKUP(SMALL('Error Check Table-Hidden'!B:B,ROW(C639)-3),ErrorCheckTable,4,FALSE)))</f>
        <v/>
      </c>
    </row>
    <row r="640" spans="2:4" x14ac:dyDescent="0.2">
      <c r="B640" s="67" t="str">
        <f t="shared" si="10"/>
        <v/>
      </c>
      <c r="C640" s="67" t="str">
        <f>IF(ISERROR(VLOOKUP(SMALL('Error Check Table-Hidden'!B:B,ROW(C640)-3),ErrorCheckTable,3,FALSE)), "",(VLOOKUP(SMALL('Error Check Table-Hidden'!B:B,ROW(C640)-3),ErrorCheckTable,3,FALSE)))</f>
        <v/>
      </c>
      <c r="D640" s="59" t="str">
        <f>IF(ISERROR(VLOOKUP(SMALL('Error Check Table-Hidden'!B:B,ROW(C640)-3),ErrorCheckTable,4,FALSE)), "",(VLOOKUP(SMALL('Error Check Table-Hidden'!B:B,ROW(C640)-3),ErrorCheckTable,4,FALSE)))</f>
        <v/>
      </c>
    </row>
    <row r="641" spans="2:4" x14ac:dyDescent="0.2">
      <c r="B641" s="67" t="str">
        <f t="shared" si="10"/>
        <v/>
      </c>
      <c r="C641" s="67" t="str">
        <f>IF(ISERROR(VLOOKUP(SMALL('Error Check Table-Hidden'!B:B,ROW(C641)-3),ErrorCheckTable,3,FALSE)), "",(VLOOKUP(SMALL('Error Check Table-Hidden'!B:B,ROW(C641)-3),ErrorCheckTable,3,FALSE)))</f>
        <v/>
      </c>
      <c r="D641" s="59" t="str">
        <f>IF(ISERROR(VLOOKUP(SMALL('Error Check Table-Hidden'!B:B,ROW(C641)-3),ErrorCheckTable,4,FALSE)), "",(VLOOKUP(SMALL('Error Check Table-Hidden'!B:B,ROW(C641)-3),ErrorCheckTable,4,FALSE)))</f>
        <v/>
      </c>
    </row>
    <row r="642" spans="2:4" x14ac:dyDescent="0.2">
      <c r="B642" s="67" t="str">
        <f t="shared" si="10"/>
        <v/>
      </c>
      <c r="C642" s="67" t="str">
        <f>IF(ISERROR(VLOOKUP(SMALL('Error Check Table-Hidden'!B:B,ROW(C642)-3),ErrorCheckTable,3,FALSE)), "",(VLOOKUP(SMALL('Error Check Table-Hidden'!B:B,ROW(C642)-3),ErrorCheckTable,3,FALSE)))</f>
        <v/>
      </c>
      <c r="D642" s="59" t="str">
        <f>IF(ISERROR(VLOOKUP(SMALL('Error Check Table-Hidden'!B:B,ROW(C642)-3),ErrorCheckTable,4,FALSE)), "",(VLOOKUP(SMALL('Error Check Table-Hidden'!B:B,ROW(C642)-3),ErrorCheckTable,4,FALSE)))</f>
        <v/>
      </c>
    </row>
    <row r="643" spans="2:4" x14ac:dyDescent="0.2">
      <c r="B643" s="67" t="str">
        <f t="shared" si="10"/>
        <v/>
      </c>
      <c r="C643" s="67" t="str">
        <f>IF(ISERROR(VLOOKUP(SMALL('Error Check Table-Hidden'!B:B,ROW(C643)-3),ErrorCheckTable,3,FALSE)), "",(VLOOKUP(SMALL('Error Check Table-Hidden'!B:B,ROW(C643)-3),ErrorCheckTable,3,FALSE)))</f>
        <v/>
      </c>
      <c r="D643" s="59" t="str">
        <f>IF(ISERROR(VLOOKUP(SMALL('Error Check Table-Hidden'!B:B,ROW(C643)-3),ErrorCheckTable,4,FALSE)), "",(VLOOKUP(SMALL('Error Check Table-Hidden'!B:B,ROW(C643)-3),ErrorCheckTable,4,FALSE)))</f>
        <v/>
      </c>
    </row>
    <row r="644" spans="2:4" x14ac:dyDescent="0.2">
      <c r="B644" s="67" t="str">
        <f t="shared" si="10"/>
        <v/>
      </c>
      <c r="C644" s="67" t="str">
        <f>IF(ISERROR(VLOOKUP(SMALL('Error Check Table-Hidden'!B:B,ROW(C644)-3),ErrorCheckTable,3,FALSE)), "",(VLOOKUP(SMALL('Error Check Table-Hidden'!B:B,ROW(C644)-3),ErrorCheckTable,3,FALSE)))</f>
        <v/>
      </c>
      <c r="D644" s="59" t="str">
        <f>IF(ISERROR(VLOOKUP(SMALL('Error Check Table-Hidden'!B:B,ROW(C644)-3),ErrorCheckTable,4,FALSE)), "",(VLOOKUP(SMALL('Error Check Table-Hidden'!B:B,ROW(C644)-3),ErrorCheckTable,4,FALSE)))</f>
        <v/>
      </c>
    </row>
    <row r="645" spans="2:4" x14ac:dyDescent="0.2">
      <c r="B645" s="67" t="str">
        <f t="shared" si="10"/>
        <v/>
      </c>
      <c r="C645" s="67" t="str">
        <f>IF(ISERROR(VLOOKUP(SMALL('Error Check Table-Hidden'!B:B,ROW(C645)-3),ErrorCheckTable,3,FALSE)), "",(VLOOKUP(SMALL('Error Check Table-Hidden'!B:B,ROW(C645)-3),ErrorCheckTable,3,FALSE)))</f>
        <v/>
      </c>
      <c r="D645" s="59" t="str">
        <f>IF(ISERROR(VLOOKUP(SMALL('Error Check Table-Hidden'!B:B,ROW(C645)-3),ErrorCheckTable,4,FALSE)), "",(VLOOKUP(SMALL('Error Check Table-Hidden'!B:B,ROW(C645)-3),ErrorCheckTable,4,FALSE)))</f>
        <v/>
      </c>
    </row>
    <row r="646" spans="2:4" x14ac:dyDescent="0.2">
      <c r="B646" s="67" t="str">
        <f t="shared" si="10"/>
        <v/>
      </c>
      <c r="C646" s="67" t="str">
        <f>IF(ISERROR(VLOOKUP(SMALL('Error Check Table-Hidden'!B:B,ROW(C646)-3),ErrorCheckTable,3,FALSE)), "",(VLOOKUP(SMALL('Error Check Table-Hidden'!B:B,ROW(C646)-3),ErrorCheckTable,3,FALSE)))</f>
        <v/>
      </c>
      <c r="D646" s="59" t="str">
        <f>IF(ISERROR(VLOOKUP(SMALL('Error Check Table-Hidden'!B:B,ROW(C646)-3),ErrorCheckTable,4,FALSE)), "",(VLOOKUP(SMALL('Error Check Table-Hidden'!B:B,ROW(C646)-3),ErrorCheckTable,4,FALSE)))</f>
        <v/>
      </c>
    </row>
    <row r="647" spans="2:4" x14ac:dyDescent="0.2">
      <c r="B647" s="67" t="str">
        <f t="shared" si="10"/>
        <v/>
      </c>
      <c r="C647" s="67" t="str">
        <f>IF(ISERROR(VLOOKUP(SMALL('Error Check Table-Hidden'!B:B,ROW(C647)-3),ErrorCheckTable,3,FALSE)), "",(VLOOKUP(SMALL('Error Check Table-Hidden'!B:B,ROW(C647)-3),ErrorCheckTable,3,FALSE)))</f>
        <v/>
      </c>
      <c r="D647" s="59" t="str">
        <f>IF(ISERROR(VLOOKUP(SMALL('Error Check Table-Hidden'!B:B,ROW(C647)-3),ErrorCheckTable,4,FALSE)), "",(VLOOKUP(SMALL('Error Check Table-Hidden'!B:B,ROW(C647)-3),ErrorCheckTable,4,FALSE)))</f>
        <v/>
      </c>
    </row>
    <row r="648" spans="2:4" x14ac:dyDescent="0.2">
      <c r="B648" s="67" t="str">
        <f t="shared" si="10"/>
        <v/>
      </c>
      <c r="C648" s="67" t="str">
        <f>IF(ISERROR(VLOOKUP(SMALL('Error Check Table-Hidden'!B:B,ROW(C648)-3),ErrorCheckTable,3,FALSE)), "",(VLOOKUP(SMALL('Error Check Table-Hidden'!B:B,ROW(C648)-3),ErrorCheckTable,3,FALSE)))</f>
        <v/>
      </c>
      <c r="D648" s="59" t="str">
        <f>IF(ISERROR(VLOOKUP(SMALL('Error Check Table-Hidden'!B:B,ROW(C648)-3),ErrorCheckTable,4,FALSE)), "",(VLOOKUP(SMALL('Error Check Table-Hidden'!B:B,ROW(C648)-3),ErrorCheckTable,4,FALSE)))</f>
        <v/>
      </c>
    </row>
    <row r="649" spans="2:4" x14ac:dyDescent="0.2">
      <c r="B649" s="67" t="str">
        <f t="shared" si="10"/>
        <v/>
      </c>
      <c r="C649" s="67" t="str">
        <f>IF(ISERROR(VLOOKUP(SMALL('Error Check Table-Hidden'!B:B,ROW(C649)-3),ErrorCheckTable,3,FALSE)), "",(VLOOKUP(SMALL('Error Check Table-Hidden'!B:B,ROW(C649)-3),ErrorCheckTable,3,FALSE)))</f>
        <v/>
      </c>
      <c r="D649" s="59" t="str">
        <f>IF(ISERROR(VLOOKUP(SMALL('Error Check Table-Hidden'!B:B,ROW(C649)-3),ErrorCheckTable,4,FALSE)), "",(VLOOKUP(SMALL('Error Check Table-Hidden'!B:B,ROW(C649)-3),ErrorCheckTable,4,FALSE)))</f>
        <v/>
      </c>
    </row>
    <row r="650" spans="2:4" x14ac:dyDescent="0.2">
      <c r="B650" s="67" t="str">
        <f t="shared" si="10"/>
        <v/>
      </c>
      <c r="C650" s="67" t="str">
        <f>IF(ISERROR(VLOOKUP(SMALL('Error Check Table-Hidden'!B:B,ROW(C650)-3),ErrorCheckTable,3,FALSE)), "",(VLOOKUP(SMALL('Error Check Table-Hidden'!B:B,ROW(C650)-3),ErrorCheckTable,3,FALSE)))</f>
        <v/>
      </c>
      <c r="D650" s="59" t="str">
        <f>IF(ISERROR(VLOOKUP(SMALL('Error Check Table-Hidden'!B:B,ROW(C650)-3),ErrorCheckTable,4,FALSE)), "",(VLOOKUP(SMALL('Error Check Table-Hidden'!B:B,ROW(C650)-3),ErrorCheckTable,4,FALSE)))</f>
        <v/>
      </c>
    </row>
    <row r="651" spans="2:4" x14ac:dyDescent="0.2">
      <c r="B651" s="67" t="str">
        <f t="shared" si="10"/>
        <v/>
      </c>
      <c r="C651" s="67" t="str">
        <f>IF(ISERROR(VLOOKUP(SMALL('Error Check Table-Hidden'!B:B,ROW(C651)-3),ErrorCheckTable,3,FALSE)), "",(VLOOKUP(SMALL('Error Check Table-Hidden'!B:B,ROW(C651)-3),ErrorCheckTable,3,FALSE)))</f>
        <v/>
      </c>
      <c r="D651" s="59" t="str">
        <f>IF(ISERROR(VLOOKUP(SMALL('Error Check Table-Hidden'!B:B,ROW(C651)-3),ErrorCheckTable,4,FALSE)), "",(VLOOKUP(SMALL('Error Check Table-Hidden'!B:B,ROW(C651)-3),ErrorCheckTable,4,FALSE)))</f>
        <v/>
      </c>
    </row>
    <row r="652" spans="2:4" x14ac:dyDescent="0.2">
      <c r="B652" s="67" t="str">
        <f t="shared" si="10"/>
        <v/>
      </c>
      <c r="C652" s="67" t="str">
        <f>IF(ISERROR(VLOOKUP(SMALL('Error Check Table-Hidden'!B:B,ROW(C652)-3),ErrorCheckTable,3,FALSE)), "",(VLOOKUP(SMALL('Error Check Table-Hidden'!B:B,ROW(C652)-3),ErrorCheckTable,3,FALSE)))</f>
        <v/>
      </c>
      <c r="D652" s="59" t="str">
        <f>IF(ISERROR(VLOOKUP(SMALL('Error Check Table-Hidden'!B:B,ROW(C652)-3),ErrorCheckTable,4,FALSE)), "",(VLOOKUP(SMALL('Error Check Table-Hidden'!B:B,ROW(C652)-3),ErrorCheckTable,4,FALSE)))</f>
        <v/>
      </c>
    </row>
    <row r="653" spans="2:4" x14ac:dyDescent="0.2">
      <c r="B653" s="67" t="str">
        <f t="shared" si="10"/>
        <v/>
      </c>
      <c r="C653" s="67" t="str">
        <f>IF(ISERROR(VLOOKUP(SMALL('Error Check Table-Hidden'!B:B,ROW(C653)-3),ErrorCheckTable,3,FALSE)), "",(VLOOKUP(SMALL('Error Check Table-Hidden'!B:B,ROW(C653)-3),ErrorCheckTable,3,FALSE)))</f>
        <v/>
      </c>
      <c r="D653" s="59" t="str">
        <f>IF(ISERROR(VLOOKUP(SMALL('Error Check Table-Hidden'!B:B,ROW(C653)-3),ErrorCheckTable,4,FALSE)), "",(VLOOKUP(SMALL('Error Check Table-Hidden'!B:B,ROW(C653)-3),ErrorCheckTable,4,FALSE)))</f>
        <v/>
      </c>
    </row>
    <row r="654" spans="2:4" x14ac:dyDescent="0.2">
      <c r="B654" s="67" t="str">
        <f t="shared" si="10"/>
        <v/>
      </c>
      <c r="C654" s="67" t="str">
        <f>IF(ISERROR(VLOOKUP(SMALL('Error Check Table-Hidden'!B:B,ROW(C654)-3),ErrorCheckTable,3,FALSE)), "",(VLOOKUP(SMALL('Error Check Table-Hidden'!B:B,ROW(C654)-3),ErrorCheckTable,3,FALSE)))</f>
        <v/>
      </c>
      <c r="D654" s="59" t="str">
        <f>IF(ISERROR(VLOOKUP(SMALL('Error Check Table-Hidden'!B:B,ROW(C654)-3),ErrorCheckTable,4,FALSE)), "",(VLOOKUP(SMALL('Error Check Table-Hidden'!B:B,ROW(C654)-3),ErrorCheckTable,4,FALSE)))</f>
        <v/>
      </c>
    </row>
    <row r="655" spans="2:4" x14ac:dyDescent="0.2">
      <c r="B655" s="67" t="str">
        <f t="shared" si="10"/>
        <v/>
      </c>
      <c r="C655" s="67" t="str">
        <f>IF(ISERROR(VLOOKUP(SMALL('Error Check Table-Hidden'!B:B,ROW(C655)-3),ErrorCheckTable,3,FALSE)), "",(VLOOKUP(SMALL('Error Check Table-Hidden'!B:B,ROW(C655)-3),ErrorCheckTable,3,FALSE)))</f>
        <v/>
      </c>
      <c r="D655" s="59" t="str">
        <f>IF(ISERROR(VLOOKUP(SMALL('Error Check Table-Hidden'!B:B,ROW(C655)-3),ErrorCheckTable,4,FALSE)), "",(VLOOKUP(SMALL('Error Check Table-Hidden'!B:B,ROW(C655)-3),ErrorCheckTable,4,FALSE)))</f>
        <v/>
      </c>
    </row>
    <row r="656" spans="2:4" x14ac:dyDescent="0.2">
      <c r="B656" s="67" t="str">
        <f t="shared" si="10"/>
        <v/>
      </c>
      <c r="C656" s="67" t="str">
        <f>IF(ISERROR(VLOOKUP(SMALL('Error Check Table-Hidden'!B:B,ROW(C656)-3),ErrorCheckTable,3,FALSE)), "",(VLOOKUP(SMALL('Error Check Table-Hidden'!B:B,ROW(C656)-3),ErrorCheckTable,3,FALSE)))</f>
        <v/>
      </c>
      <c r="D656" s="59" t="str">
        <f>IF(ISERROR(VLOOKUP(SMALL('Error Check Table-Hidden'!B:B,ROW(C656)-3),ErrorCheckTable,4,FALSE)), "",(VLOOKUP(SMALL('Error Check Table-Hidden'!B:B,ROW(C656)-3),ErrorCheckTable,4,FALSE)))</f>
        <v/>
      </c>
    </row>
    <row r="657" spans="2:4" x14ac:dyDescent="0.2">
      <c r="B657" s="67" t="str">
        <f t="shared" si="10"/>
        <v/>
      </c>
      <c r="C657" s="67" t="str">
        <f>IF(ISERROR(VLOOKUP(SMALL('Error Check Table-Hidden'!B:B,ROW(C657)-3),ErrorCheckTable,3,FALSE)), "",(VLOOKUP(SMALL('Error Check Table-Hidden'!B:B,ROW(C657)-3),ErrorCheckTable,3,FALSE)))</f>
        <v/>
      </c>
      <c r="D657" s="59" t="str">
        <f>IF(ISERROR(VLOOKUP(SMALL('Error Check Table-Hidden'!B:B,ROW(C657)-3),ErrorCheckTable,4,FALSE)), "",(VLOOKUP(SMALL('Error Check Table-Hidden'!B:B,ROW(C657)-3),ErrorCheckTable,4,FALSE)))</f>
        <v/>
      </c>
    </row>
    <row r="658" spans="2:4" x14ac:dyDescent="0.2">
      <c r="B658" s="67" t="str">
        <f t="shared" si="10"/>
        <v/>
      </c>
      <c r="C658" s="67" t="str">
        <f>IF(ISERROR(VLOOKUP(SMALL('Error Check Table-Hidden'!B:B,ROW(C658)-3),ErrorCheckTable,3,FALSE)), "",(VLOOKUP(SMALL('Error Check Table-Hidden'!B:B,ROW(C658)-3),ErrorCheckTable,3,FALSE)))</f>
        <v/>
      </c>
      <c r="D658" s="59" t="str">
        <f>IF(ISERROR(VLOOKUP(SMALL('Error Check Table-Hidden'!B:B,ROW(C658)-3),ErrorCheckTable,4,FALSE)), "",(VLOOKUP(SMALL('Error Check Table-Hidden'!B:B,ROW(C658)-3),ErrorCheckTable,4,FALSE)))</f>
        <v/>
      </c>
    </row>
    <row r="659" spans="2:4" x14ac:dyDescent="0.2">
      <c r="B659" s="67" t="str">
        <f t="shared" si="10"/>
        <v/>
      </c>
      <c r="C659" s="67" t="str">
        <f>IF(ISERROR(VLOOKUP(SMALL('Error Check Table-Hidden'!B:B,ROW(C659)-3),ErrorCheckTable,3,FALSE)), "",(VLOOKUP(SMALL('Error Check Table-Hidden'!B:B,ROW(C659)-3),ErrorCheckTable,3,FALSE)))</f>
        <v/>
      </c>
      <c r="D659" s="59" t="str">
        <f>IF(ISERROR(VLOOKUP(SMALL('Error Check Table-Hidden'!B:B,ROW(C659)-3),ErrorCheckTable,4,FALSE)), "",(VLOOKUP(SMALL('Error Check Table-Hidden'!B:B,ROW(C659)-3),ErrorCheckTable,4,FALSE)))</f>
        <v/>
      </c>
    </row>
    <row r="660" spans="2:4" x14ac:dyDescent="0.2">
      <c r="B660" s="67" t="str">
        <f t="shared" si="10"/>
        <v/>
      </c>
      <c r="C660" s="67" t="str">
        <f>IF(ISERROR(VLOOKUP(SMALL('Error Check Table-Hidden'!B:B,ROW(C660)-3),ErrorCheckTable,3,FALSE)), "",(VLOOKUP(SMALL('Error Check Table-Hidden'!B:B,ROW(C660)-3),ErrorCheckTable,3,FALSE)))</f>
        <v/>
      </c>
      <c r="D660" s="59" t="str">
        <f>IF(ISERROR(VLOOKUP(SMALL('Error Check Table-Hidden'!B:B,ROW(C660)-3),ErrorCheckTable,4,FALSE)), "",(VLOOKUP(SMALL('Error Check Table-Hidden'!B:B,ROW(C660)-3),ErrorCheckTable,4,FALSE)))</f>
        <v/>
      </c>
    </row>
    <row r="661" spans="2:4" x14ac:dyDescent="0.2">
      <c r="B661" s="67" t="str">
        <f t="shared" si="10"/>
        <v/>
      </c>
      <c r="C661" s="67" t="str">
        <f>IF(ISERROR(VLOOKUP(SMALL('Error Check Table-Hidden'!B:B,ROW(C661)-3),ErrorCheckTable,3,FALSE)), "",(VLOOKUP(SMALL('Error Check Table-Hidden'!B:B,ROW(C661)-3),ErrorCheckTable,3,FALSE)))</f>
        <v/>
      </c>
      <c r="D661" s="59" t="str">
        <f>IF(ISERROR(VLOOKUP(SMALL('Error Check Table-Hidden'!B:B,ROW(C661)-3),ErrorCheckTable,4,FALSE)), "",(VLOOKUP(SMALL('Error Check Table-Hidden'!B:B,ROW(C661)-3),ErrorCheckTable,4,FALSE)))</f>
        <v/>
      </c>
    </row>
    <row r="662" spans="2:4" x14ac:dyDescent="0.2">
      <c r="B662" s="67" t="str">
        <f t="shared" si="10"/>
        <v/>
      </c>
      <c r="C662" s="67" t="str">
        <f>IF(ISERROR(VLOOKUP(SMALL('Error Check Table-Hidden'!B:B,ROW(C662)-3),ErrorCheckTable,3,FALSE)), "",(VLOOKUP(SMALL('Error Check Table-Hidden'!B:B,ROW(C662)-3),ErrorCheckTable,3,FALSE)))</f>
        <v/>
      </c>
      <c r="D662" s="59" t="str">
        <f>IF(ISERROR(VLOOKUP(SMALL('Error Check Table-Hidden'!B:B,ROW(C662)-3),ErrorCheckTable,4,FALSE)), "",(VLOOKUP(SMALL('Error Check Table-Hidden'!B:B,ROW(C662)-3),ErrorCheckTable,4,FALSE)))</f>
        <v/>
      </c>
    </row>
    <row r="663" spans="2:4" x14ac:dyDescent="0.2">
      <c r="B663" s="67" t="str">
        <f t="shared" si="10"/>
        <v/>
      </c>
      <c r="C663" s="67" t="str">
        <f>IF(ISERROR(VLOOKUP(SMALL('Error Check Table-Hidden'!B:B,ROW(C663)-3),ErrorCheckTable,3,FALSE)), "",(VLOOKUP(SMALL('Error Check Table-Hidden'!B:B,ROW(C663)-3),ErrorCheckTable,3,FALSE)))</f>
        <v/>
      </c>
      <c r="D663" s="59" t="str">
        <f>IF(ISERROR(VLOOKUP(SMALL('Error Check Table-Hidden'!B:B,ROW(C663)-3),ErrorCheckTable,4,FALSE)), "",(VLOOKUP(SMALL('Error Check Table-Hidden'!B:B,ROW(C663)-3),ErrorCheckTable,4,FALSE)))</f>
        <v/>
      </c>
    </row>
    <row r="664" spans="2:4" x14ac:dyDescent="0.2">
      <c r="B664" s="67" t="str">
        <f t="shared" si="10"/>
        <v/>
      </c>
      <c r="C664" s="67" t="str">
        <f>IF(ISERROR(VLOOKUP(SMALL('Error Check Table-Hidden'!B:B,ROW(C664)-3),ErrorCheckTable,3,FALSE)), "",(VLOOKUP(SMALL('Error Check Table-Hidden'!B:B,ROW(C664)-3),ErrorCheckTable,3,FALSE)))</f>
        <v/>
      </c>
      <c r="D664" s="59" t="str">
        <f>IF(ISERROR(VLOOKUP(SMALL('Error Check Table-Hidden'!B:B,ROW(C664)-3),ErrorCheckTable,4,FALSE)), "",(VLOOKUP(SMALL('Error Check Table-Hidden'!B:B,ROW(C664)-3),ErrorCheckTable,4,FALSE)))</f>
        <v/>
      </c>
    </row>
    <row r="665" spans="2:4" x14ac:dyDescent="0.2">
      <c r="B665" s="67" t="str">
        <f t="shared" si="10"/>
        <v/>
      </c>
      <c r="C665" s="67" t="str">
        <f>IF(ISERROR(VLOOKUP(SMALL('Error Check Table-Hidden'!B:B,ROW(C665)-3),ErrorCheckTable,3,FALSE)), "",(VLOOKUP(SMALL('Error Check Table-Hidden'!B:B,ROW(C665)-3),ErrorCheckTable,3,FALSE)))</f>
        <v/>
      </c>
      <c r="D665" s="59" t="str">
        <f>IF(ISERROR(VLOOKUP(SMALL('Error Check Table-Hidden'!B:B,ROW(C665)-3),ErrorCheckTable,4,FALSE)), "",(VLOOKUP(SMALL('Error Check Table-Hidden'!B:B,ROW(C665)-3),ErrorCheckTable,4,FALSE)))</f>
        <v/>
      </c>
    </row>
    <row r="666" spans="2:4" x14ac:dyDescent="0.2">
      <c r="B666" s="67" t="str">
        <f t="shared" si="10"/>
        <v/>
      </c>
      <c r="C666" s="67" t="str">
        <f>IF(ISERROR(VLOOKUP(SMALL('Error Check Table-Hidden'!B:B,ROW(C666)-3),ErrorCheckTable,3,FALSE)), "",(VLOOKUP(SMALL('Error Check Table-Hidden'!B:B,ROW(C666)-3),ErrorCheckTable,3,FALSE)))</f>
        <v/>
      </c>
      <c r="D666" s="59" t="str">
        <f>IF(ISERROR(VLOOKUP(SMALL('Error Check Table-Hidden'!B:B,ROW(C666)-3),ErrorCheckTable,4,FALSE)), "",(VLOOKUP(SMALL('Error Check Table-Hidden'!B:B,ROW(C666)-3),ErrorCheckTable,4,FALSE)))</f>
        <v/>
      </c>
    </row>
    <row r="667" spans="2:4" x14ac:dyDescent="0.2">
      <c r="B667" s="67" t="str">
        <f t="shared" si="10"/>
        <v/>
      </c>
      <c r="C667" s="67" t="str">
        <f>IF(ISERROR(VLOOKUP(SMALL('Error Check Table-Hidden'!B:B,ROW(C667)-3),ErrorCheckTable,3,FALSE)), "",(VLOOKUP(SMALL('Error Check Table-Hidden'!B:B,ROW(C667)-3),ErrorCheckTable,3,FALSE)))</f>
        <v/>
      </c>
      <c r="D667" s="59" t="str">
        <f>IF(ISERROR(VLOOKUP(SMALL('Error Check Table-Hidden'!B:B,ROW(C667)-3),ErrorCheckTable,4,FALSE)), "",(VLOOKUP(SMALL('Error Check Table-Hidden'!B:B,ROW(C667)-3),ErrorCheckTable,4,FALSE)))</f>
        <v/>
      </c>
    </row>
    <row r="668" spans="2:4" x14ac:dyDescent="0.2">
      <c r="B668" s="67" t="str">
        <f t="shared" si="10"/>
        <v/>
      </c>
      <c r="C668" s="67" t="str">
        <f>IF(ISERROR(VLOOKUP(SMALL('Error Check Table-Hidden'!B:B,ROW(C668)-3),ErrorCheckTable,3,FALSE)), "",(VLOOKUP(SMALL('Error Check Table-Hidden'!B:B,ROW(C668)-3),ErrorCheckTable,3,FALSE)))</f>
        <v/>
      </c>
      <c r="D668" s="59" t="str">
        <f>IF(ISERROR(VLOOKUP(SMALL('Error Check Table-Hidden'!B:B,ROW(C668)-3),ErrorCheckTable,4,FALSE)), "",(VLOOKUP(SMALL('Error Check Table-Hidden'!B:B,ROW(C668)-3),ErrorCheckTable,4,FALSE)))</f>
        <v/>
      </c>
    </row>
    <row r="669" spans="2:4" x14ac:dyDescent="0.2">
      <c r="B669" s="67" t="str">
        <f t="shared" si="10"/>
        <v/>
      </c>
      <c r="C669" s="67" t="str">
        <f>IF(ISERROR(VLOOKUP(SMALL('Error Check Table-Hidden'!B:B,ROW(C669)-3),ErrorCheckTable,3,FALSE)), "",(VLOOKUP(SMALL('Error Check Table-Hidden'!B:B,ROW(C669)-3),ErrorCheckTable,3,FALSE)))</f>
        <v/>
      </c>
      <c r="D669" s="59" t="str">
        <f>IF(ISERROR(VLOOKUP(SMALL('Error Check Table-Hidden'!B:B,ROW(C669)-3),ErrorCheckTable,4,FALSE)), "",(VLOOKUP(SMALL('Error Check Table-Hidden'!B:B,ROW(C669)-3),ErrorCheckTable,4,FALSE)))</f>
        <v/>
      </c>
    </row>
    <row r="670" spans="2:4" x14ac:dyDescent="0.2">
      <c r="B670" s="67" t="str">
        <f t="shared" si="10"/>
        <v/>
      </c>
      <c r="C670" s="67" t="str">
        <f>IF(ISERROR(VLOOKUP(SMALL('Error Check Table-Hidden'!B:B,ROW(C670)-3),ErrorCheckTable,3,FALSE)), "",(VLOOKUP(SMALL('Error Check Table-Hidden'!B:B,ROW(C670)-3),ErrorCheckTable,3,FALSE)))</f>
        <v/>
      </c>
      <c r="D670" s="59" t="str">
        <f>IF(ISERROR(VLOOKUP(SMALL('Error Check Table-Hidden'!B:B,ROW(C670)-3),ErrorCheckTable,4,FALSE)), "",(VLOOKUP(SMALL('Error Check Table-Hidden'!B:B,ROW(C670)-3),ErrorCheckTable,4,FALSE)))</f>
        <v/>
      </c>
    </row>
    <row r="671" spans="2:4" x14ac:dyDescent="0.2">
      <c r="B671" s="67" t="str">
        <f t="shared" si="10"/>
        <v/>
      </c>
      <c r="C671" s="67" t="str">
        <f>IF(ISERROR(VLOOKUP(SMALL('Error Check Table-Hidden'!B:B,ROW(C671)-3),ErrorCheckTable,3,FALSE)), "",(VLOOKUP(SMALL('Error Check Table-Hidden'!B:B,ROW(C671)-3),ErrorCheckTable,3,FALSE)))</f>
        <v/>
      </c>
      <c r="D671" s="59" t="str">
        <f>IF(ISERROR(VLOOKUP(SMALL('Error Check Table-Hidden'!B:B,ROW(C671)-3),ErrorCheckTable,4,FALSE)), "",(VLOOKUP(SMALL('Error Check Table-Hidden'!B:B,ROW(C671)-3),ErrorCheckTable,4,FALSE)))</f>
        <v/>
      </c>
    </row>
    <row r="672" spans="2:4" x14ac:dyDescent="0.2">
      <c r="B672" s="67" t="str">
        <f t="shared" si="10"/>
        <v/>
      </c>
      <c r="C672" s="67" t="str">
        <f>IF(ISERROR(VLOOKUP(SMALL('Error Check Table-Hidden'!B:B,ROW(C672)-3),ErrorCheckTable,3,FALSE)), "",(VLOOKUP(SMALL('Error Check Table-Hidden'!B:B,ROW(C672)-3),ErrorCheckTable,3,FALSE)))</f>
        <v/>
      </c>
      <c r="D672" s="59" t="str">
        <f>IF(ISERROR(VLOOKUP(SMALL('Error Check Table-Hidden'!B:B,ROW(C672)-3),ErrorCheckTable,4,FALSE)), "",(VLOOKUP(SMALL('Error Check Table-Hidden'!B:B,ROW(C672)-3),ErrorCheckTable,4,FALSE)))</f>
        <v/>
      </c>
    </row>
    <row r="673" spans="2:4" x14ac:dyDescent="0.2">
      <c r="B673" s="67" t="str">
        <f t="shared" si="10"/>
        <v/>
      </c>
      <c r="C673" s="67" t="str">
        <f>IF(ISERROR(VLOOKUP(SMALL('Error Check Table-Hidden'!B:B,ROW(C673)-3),ErrorCheckTable,3,FALSE)), "",(VLOOKUP(SMALL('Error Check Table-Hidden'!B:B,ROW(C673)-3),ErrorCheckTable,3,FALSE)))</f>
        <v/>
      </c>
      <c r="D673" s="59" t="str">
        <f>IF(ISERROR(VLOOKUP(SMALL('Error Check Table-Hidden'!B:B,ROW(C673)-3),ErrorCheckTable,4,FALSE)), "",(VLOOKUP(SMALL('Error Check Table-Hidden'!B:B,ROW(C673)-3),ErrorCheckTable,4,FALSE)))</f>
        <v/>
      </c>
    </row>
    <row r="674" spans="2:4" x14ac:dyDescent="0.2">
      <c r="B674" s="67" t="str">
        <f t="shared" si="10"/>
        <v/>
      </c>
      <c r="C674" s="67" t="str">
        <f>IF(ISERROR(VLOOKUP(SMALL('Error Check Table-Hidden'!B:B,ROW(C674)-3),ErrorCheckTable,3,FALSE)), "",(VLOOKUP(SMALL('Error Check Table-Hidden'!B:B,ROW(C674)-3),ErrorCheckTable,3,FALSE)))</f>
        <v/>
      </c>
      <c r="D674" s="59" t="str">
        <f>IF(ISERROR(VLOOKUP(SMALL('Error Check Table-Hidden'!B:B,ROW(C674)-3),ErrorCheckTable,4,FALSE)), "",(VLOOKUP(SMALL('Error Check Table-Hidden'!B:B,ROW(C674)-3),ErrorCheckTable,4,FALSE)))</f>
        <v/>
      </c>
    </row>
    <row r="675" spans="2:4" x14ac:dyDescent="0.2">
      <c r="B675" s="67" t="str">
        <f t="shared" si="10"/>
        <v/>
      </c>
      <c r="C675" s="67" t="str">
        <f>IF(ISERROR(VLOOKUP(SMALL('Error Check Table-Hidden'!B:B,ROW(C675)-3),ErrorCheckTable,3,FALSE)), "",(VLOOKUP(SMALL('Error Check Table-Hidden'!B:B,ROW(C675)-3),ErrorCheckTable,3,FALSE)))</f>
        <v/>
      </c>
      <c r="D675" s="59" t="str">
        <f>IF(ISERROR(VLOOKUP(SMALL('Error Check Table-Hidden'!B:B,ROW(C675)-3),ErrorCheckTable,4,FALSE)), "",(VLOOKUP(SMALL('Error Check Table-Hidden'!B:B,ROW(C675)-3),ErrorCheckTable,4,FALSE)))</f>
        <v/>
      </c>
    </row>
    <row r="676" spans="2:4" x14ac:dyDescent="0.2">
      <c r="B676" s="67" t="str">
        <f t="shared" si="10"/>
        <v/>
      </c>
      <c r="C676" s="67" t="str">
        <f>IF(ISERROR(VLOOKUP(SMALL('Error Check Table-Hidden'!B:B,ROW(C676)-3),ErrorCheckTable,3,FALSE)), "",(VLOOKUP(SMALL('Error Check Table-Hidden'!B:B,ROW(C676)-3),ErrorCheckTable,3,FALSE)))</f>
        <v/>
      </c>
      <c r="D676" s="59" t="str">
        <f>IF(ISERROR(VLOOKUP(SMALL('Error Check Table-Hidden'!B:B,ROW(C676)-3),ErrorCheckTable,4,FALSE)), "",(VLOOKUP(SMALL('Error Check Table-Hidden'!B:B,ROW(C676)-3),ErrorCheckTable,4,FALSE)))</f>
        <v/>
      </c>
    </row>
    <row r="677" spans="2:4" x14ac:dyDescent="0.2">
      <c r="B677" s="67" t="str">
        <f t="shared" si="10"/>
        <v/>
      </c>
      <c r="C677" s="67" t="str">
        <f>IF(ISERROR(VLOOKUP(SMALL('Error Check Table-Hidden'!B:B,ROW(C677)-3),ErrorCheckTable,3,FALSE)), "",(VLOOKUP(SMALL('Error Check Table-Hidden'!B:B,ROW(C677)-3),ErrorCheckTable,3,FALSE)))</f>
        <v/>
      </c>
      <c r="D677" s="59" t="str">
        <f>IF(ISERROR(VLOOKUP(SMALL('Error Check Table-Hidden'!B:B,ROW(C677)-3),ErrorCheckTable,4,FALSE)), "",(VLOOKUP(SMALL('Error Check Table-Hidden'!B:B,ROW(C677)-3),ErrorCheckTable,4,FALSE)))</f>
        <v/>
      </c>
    </row>
    <row r="678" spans="2:4" x14ac:dyDescent="0.2">
      <c r="B678" s="67" t="str">
        <f t="shared" si="10"/>
        <v/>
      </c>
      <c r="C678" s="67" t="str">
        <f>IF(ISERROR(VLOOKUP(SMALL('Error Check Table-Hidden'!B:B,ROW(C678)-3),ErrorCheckTable,3,FALSE)), "",(VLOOKUP(SMALL('Error Check Table-Hidden'!B:B,ROW(C678)-3),ErrorCheckTable,3,FALSE)))</f>
        <v/>
      </c>
      <c r="D678" s="59" t="str">
        <f>IF(ISERROR(VLOOKUP(SMALL('Error Check Table-Hidden'!B:B,ROW(C678)-3),ErrorCheckTable,4,FALSE)), "",(VLOOKUP(SMALL('Error Check Table-Hidden'!B:B,ROW(C678)-3),ErrorCheckTable,4,FALSE)))</f>
        <v/>
      </c>
    </row>
    <row r="679" spans="2:4" x14ac:dyDescent="0.2">
      <c r="B679" s="67" t="str">
        <f t="shared" si="10"/>
        <v/>
      </c>
      <c r="C679" s="67" t="str">
        <f>IF(ISERROR(VLOOKUP(SMALL('Error Check Table-Hidden'!B:B,ROW(C679)-3),ErrorCheckTable,3,FALSE)), "",(VLOOKUP(SMALL('Error Check Table-Hidden'!B:B,ROW(C679)-3),ErrorCheckTable,3,FALSE)))</f>
        <v/>
      </c>
      <c r="D679" s="59" t="str">
        <f>IF(ISERROR(VLOOKUP(SMALL('Error Check Table-Hidden'!B:B,ROW(C679)-3),ErrorCheckTable,4,FALSE)), "",(VLOOKUP(SMALL('Error Check Table-Hidden'!B:B,ROW(C679)-3),ErrorCheckTable,4,FALSE)))</f>
        <v/>
      </c>
    </row>
    <row r="680" spans="2:4" x14ac:dyDescent="0.2">
      <c r="B680" s="67" t="str">
        <f t="shared" si="10"/>
        <v/>
      </c>
      <c r="C680" s="67" t="str">
        <f>IF(ISERROR(VLOOKUP(SMALL('Error Check Table-Hidden'!B:B,ROW(C680)-3),ErrorCheckTable,3,FALSE)), "",(VLOOKUP(SMALL('Error Check Table-Hidden'!B:B,ROW(C680)-3),ErrorCheckTable,3,FALSE)))</f>
        <v/>
      </c>
      <c r="D680" s="59" t="str">
        <f>IF(ISERROR(VLOOKUP(SMALL('Error Check Table-Hidden'!B:B,ROW(C680)-3),ErrorCheckTable,4,FALSE)), "",(VLOOKUP(SMALL('Error Check Table-Hidden'!B:B,ROW(C680)-3),ErrorCheckTable,4,FALSE)))</f>
        <v/>
      </c>
    </row>
    <row r="681" spans="2:4" x14ac:dyDescent="0.2">
      <c r="B681" s="67" t="str">
        <f t="shared" si="10"/>
        <v/>
      </c>
      <c r="C681" s="67" t="str">
        <f>IF(ISERROR(VLOOKUP(SMALL('Error Check Table-Hidden'!B:B,ROW(C681)-3),ErrorCheckTable,3,FALSE)), "",(VLOOKUP(SMALL('Error Check Table-Hidden'!B:B,ROW(C681)-3),ErrorCheckTable,3,FALSE)))</f>
        <v/>
      </c>
      <c r="D681" s="59" t="str">
        <f>IF(ISERROR(VLOOKUP(SMALL('Error Check Table-Hidden'!B:B,ROW(C681)-3),ErrorCheckTable,4,FALSE)), "",(VLOOKUP(SMALL('Error Check Table-Hidden'!B:B,ROW(C681)-3),ErrorCheckTable,4,FALSE)))</f>
        <v/>
      </c>
    </row>
    <row r="682" spans="2:4" x14ac:dyDescent="0.2">
      <c r="B682" s="67" t="str">
        <f t="shared" si="10"/>
        <v/>
      </c>
      <c r="C682" s="67" t="str">
        <f>IF(ISERROR(VLOOKUP(SMALL('Error Check Table-Hidden'!B:B,ROW(C682)-3),ErrorCheckTable,3,FALSE)), "",(VLOOKUP(SMALL('Error Check Table-Hidden'!B:B,ROW(C682)-3),ErrorCheckTable,3,FALSE)))</f>
        <v/>
      </c>
      <c r="D682" s="59" t="str">
        <f>IF(ISERROR(VLOOKUP(SMALL('Error Check Table-Hidden'!B:B,ROW(C682)-3),ErrorCheckTable,4,FALSE)), "",(VLOOKUP(SMALL('Error Check Table-Hidden'!B:B,ROW(C682)-3),ErrorCheckTable,4,FALSE)))</f>
        <v/>
      </c>
    </row>
    <row r="683" spans="2:4" x14ac:dyDescent="0.2">
      <c r="B683" s="67" t="str">
        <f t="shared" si="10"/>
        <v/>
      </c>
      <c r="C683" s="67" t="str">
        <f>IF(ISERROR(VLOOKUP(SMALL('Error Check Table-Hidden'!B:B,ROW(C683)-3),ErrorCheckTable,3,FALSE)), "",(VLOOKUP(SMALL('Error Check Table-Hidden'!B:B,ROW(C683)-3),ErrorCheckTable,3,FALSE)))</f>
        <v/>
      </c>
      <c r="D683" s="59" t="str">
        <f>IF(ISERROR(VLOOKUP(SMALL('Error Check Table-Hidden'!B:B,ROW(C683)-3),ErrorCheckTable,4,FALSE)), "",(VLOOKUP(SMALL('Error Check Table-Hidden'!B:B,ROW(C683)-3),ErrorCheckTable,4,FALSE)))</f>
        <v/>
      </c>
    </row>
    <row r="684" spans="2:4" x14ac:dyDescent="0.2">
      <c r="B684" s="67" t="str">
        <f t="shared" si="10"/>
        <v/>
      </c>
      <c r="C684" s="67" t="str">
        <f>IF(ISERROR(VLOOKUP(SMALL('Error Check Table-Hidden'!B:B,ROW(C684)-3),ErrorCheckTable,3,FALSE)), "",(VLOOKUP(SMALL('Error Check Table-Hidden'!B:B,ROW(C684)-3),ErrorCheckTable,3,FALSE)))</f>
        <v/>
      </c>
      <c r="D684" s="59" t="str">
        <f>IF(ISERROR(VLOOKUP(SMALL('Error Check Table-Hidden'!B:B,ROW(C684)-3),ErrorCheckTable,4,FALSE)), "",(VLOOKUP(SMALL('Error Check Table-Hidden'!B:B,ROW(C684)-3),ErrorCheckTable,4,FALSE)))</f>
        <v/>
      </c>
    </row>
    <row r="685" spans="2:4" x14ac:dyDescent="0.2">
      <c r="B685" s="67" t="str">
        <f t="shared" si="10"/>
        <v/>
      </c>
      <c r="C685" s="67" t="str">
        <f>IF(ISERROR(VLOOKUP(SMALL('Error Check Table-Hidden'!B:B,ROW(C685)-3),ErrorCheckTable,3,FALSE)), "",(VLOOKUP(SMALL('Error Check Table-Hidden'!B:B,ROW(C685)-3),ErrorCheckTable,3,FALSE)))</f>
        <v/>
      </c>
      <c r="D685" s="59" t="str">
        <f>IF(ISERROR(VLOOKUP(SMALL('Error Check Table-Hidden'!B:B,ROW(C685)-3),ErrorCheckTable,4,FALSE)), "",(VLOOKUP(SMALL('Error Check Table-Hidden'!B:B,ROW(C685)-3),ErrorCheckTable,4,FALSE)))</f>
        <v/>
      </c>
    </row>
    <row r="686" spans="2:4" x14ac:dyDescent="0.2">
      <c r="B686" s="67" t="str">
        <f t="shared" ref="B686:B749" si="11">IF(C686&lt;&gt;"",B685+1,"")</f>
        <v/>
      </c>
      <c r="C686" s="67" t="str">
        <f>IF(ISERROR(VLOOKUP(SMALL('Error Check Table-Hidden'!B:B,ROW(C686)-3),ErrorCheckTable,3,FALSE)), "",(VLOOKUP(SMALL('Error Check Table-Hidden'!B:B,ROW(C686)-3),ErrorCheckTable,3,FALSE)))</f>
        <v/>
      </c>
      <c r="D686" s="59" t="str">
        <f>IF(ISERROR(VLOOKUP(SMALL('Error Check Table-Hidden'!B:B,ROW(C686)-3),ErrorCheckTable,4,FALSE)), "",(VLOOKUP(SMALL('Error Check Table-Hidden'!B:B,ROW(C686)-3),ErrorCheckTable,4,FALSE)))</f>
        <v/>
      </c>
    </row>
    <row r="687" spans="2:4" x14ac:dyDescent="0.2">
      <c r="B687" s="67" t="str">
        <f t="shared" si="11"/>
        <v/>
      </c>
      <c r="C687" s="67" t="str">
        <f>IF(ISERROR(VLOOKUP(SMALL('Error Check Table-Hidden'!B:B,ROW(C687)-3),ErrorCheckTable,3,FALSE)), "",(VLOOKUP(SMALL('Error Check Table-Hidden'!B:B,ROW(C687)-3),ErrorCheckTable,3,FALSE)))</f>
        <v/>
      </c>
      <c r="D687" s="59" t="str">
        <f>IF(ISERROR(VLOOKUP(SMALL('Error Check Table-Hidden'!B:B,ROW(C687)-3),ErrorCheckTable,4,FALSE)), "",(VLOOKUP(SMALL('Error Check Table-Hidden'!B:B,ROW(C687)-3),ErrorCheckTable,4,FALSE)))</f>
        <v/>
      </c>
    </row>
    <row r="688" spans="2:4" x14ac:dyDescent="0.2">
      <c r="B688" s="67" t="str">
        <f t="shared" si="11"/>
        <v/>
      </c>
      <c r="C688" s="67" t="str">
        <f>IF(ISERROR(VLOOKUP(SMALL('Error Check Table-Hidden'!B:B,ROW(C688)-3),ErrorCheckTable,3,FALSE)), "",(VLOOKUP(SMALL('Error Check Table-Hidden'!B:B,ROW(C688)-3),ErrorCheckTable,3,FALSE)))</f>
        <v/>
      </c>
      <c r="D688" s="59" t="str">
        <f>IF(ISERROR(VLOOKUP(SMALL('Error Check Table-Hidden'!B:B,ROW(C688)-3),ErrorCheckTable,4,FALSE)), "",(VLOOKUP(SMALL('Error Check Table-Hidden'!B:B,ROW(C688)-3),ErrorCheckTable,4,FALSE)))</f>
        <v/>
      </c>
    </row>
    <row r="689" spans="2:4" x14ac:dyDescent="0.2">
      <c r="B689" s="67" t="str">
        <f t="shared" si="11"/>
        <v/>
      </c>
      <c r="C689" s="67" t="str">
        <f>IF(ISERROR(VLOOKUP(SMALL('Error Check Table-Hidden'!B:B,ROW(C689)-3),ErrorCheckTable,3,FALSE)), "",(VLOOKUP(SMALL('Error Check Table-Hidden'!B:B,ROW(C689)-3),ErrorCheckTable,3,FALSE)))</f>
        <v/>
      </c>
      <c r="D689" s="59" t="str">
        <f>IF(ISERROR(VLOOKUP(SMALL('Error Check Table-Hidden'!B:B,ROW(C689)-3),ErrorCheckTable,4,FALSE)), "",(VLOOKUP(SMALL('Error Check Table-Hidden'!B:B,ROW(C689)-3),ErrorCheckTable,4,FALSE)))</f>
        <v/>
      </c>
    </row>
    <row r="690" spans="2:4" x14ac:dyDescent="0.2">
      <c r="B690" s="67" t="str">
        <f t="shared" si="11"/>
        <v/>
      </c>
      <c r="C690" s="67" t="str">
        <f>IF(ISERROR(VLOOKUP(SMALL('Error Check Table-Hidden'!B:B,ROW(C690)-3),ErrorCheckTable,3,FALSE)), "",(VLOOKUP(SMALL('Error Check Table-Hidden'!B:B,ROW(C690)-3),ErrorCheckTable,3,FALSE)))</f>
        <v/>
      </c>
      <c r="D690" s="59" t="str">
        <f>IF(ISERROR(VLOOKUP(SMALL('Error Check Table-Hidden'!B:B,ROW(C690)-3),ErrorCheckTable,4,FALSE)), "",(VLOOKUP(SMALL('Error Check Table-Hidden'!B:B,ROW(C690)-3),ErrorCheckTable,4,FALSE)))</f>
        <v/>
      </c>
    </row>
    <row r="691" spans="2:4" x14ac:dyDescent="0.2">
      <c r="B691" s="67" t="str">
        <f t="shared" si="11"/>
        <v/>
      </c>
      <c r="C691" s="67" t="str">
        <f>IF(ISERROR(VLOOKUP(SMALL('Error Check Table-Hidden'!B:B,ROW(C691)-3),ErrorCheckTable,3,FALSE)), "",(VLOOKUP(SMALL('Error Check Table-Hidden'!B:B,ROW(C691)-3),ErrorCheckTable,3,FALSE)))</f>
        <v/>
      </c>
      <c r="D691" s="59" t="str">
        <f>IF(ISERROR(VLOOKUP(SMALL('Error Check Table-Hidden'!B:B,ROW(C691)-3),ErrorCheckTable,4,FALSE)), "",(VLOOKUP(SMALL('Error Check Table-Hidden'!B:B,ROW(C691)-3),ErrorCheckTable,4,FALSE)))</f>
        <v/>
      </c>
    </row>
    <row r="692" spans="2:4" x14ac:dyDescent="0.2">
      <c r="B692" s="67" t="str">
        <f t="shared" si="11"/>
        <v/>
      </c>
      <c r="C692" s="67" t="str">
        <f>IF(ISERROR(VLOOKUP(SMALL('Error Check Table-Hidden'!B:B,ROW(C692)-3),ErrorCheckTable,3,FALSE)), "",(VLOOKUP(SMALL('Error Check Table-Hidden'!B:B,ROW(C692)-3),ErrorCheckTable,3,FALSE)))</f>
        <v/>
      </c>
      <c r="D692" s="59" t="str">
        <f>IF(ISERROR(VLOOKUP(SMALL('Error Check Table-Hidden'!B:B,ROW(C692)-3),ErrorCheckTable,4,FALSE)), "",(VLOOKUP(SMALL('Error Check Table-Hidden'!B:B,ROW(C692)-3),ErrorCheckTable,4,FALSE)))</f>
        <v/>
      </c>
    </row>
    <row r="693" spans="2:4" x14ac:dyDescent="0.2">
      <c r="B693" s="67" t="str">
        <f t="shared" si="11"/>
        <v/>
      </c>
      <c r="C693" s="67" t="str">
        <f>IF(ISERROR(VLOOKUP(SMALL('Error Check Table-Hidden'!B:B,ROW(C693)-3),ErrorCheckTable,3,FALSE)), "",(VLOOKUP(SMALL('Error Check Table-Hidden'!B:B,ROW(C693)-3),ErrorCheckTable,3,FALSE)))</f>
        <v/>
      </c>
      <c r="D693" s="59" t="str">
        <f>IF(ISERROR(VLOOKUP(SMALL('Error Check Table-Hidden'!B:B,ROW(C693)-3),ErrorCheckTable,4,FALSE)), "",(VLOOKUP(SMALL('Error Check Table-Hidden'!B:B,ROW(C693)-3),ErrorCheckTable,4,FALSE)))</f>
        <v/>
      </c>
    </row>
    <row r="694" spans="2:4" x14ac:dyDescent="0.2">
      <c r="B694" s="67" t="str">
        <f t="shared" si="11"/>
        <v/>
      </c>
      <c r="C694" s="67" t="str">
        <f>IF(ISERROR(VLOOKUP(SMALL('Error Check Table-Hidden'!B:B,ROW(C694)-3),ErrorCheckTable,3,FALSE)), "",(VLOOKUP(SMALL('Error Check Table-Hidden'!B:B,ROW(C694)-3),ErrorCheckTable,3,FALSE)))</f>
        <v/>
      </c>
      <c r="D694" s="59" t="str">
        <f>IF(ISERROR(VLOOKUP(SMALL('Error Check Table-Hidden'!B:B,ROW(C694)-3),ErrorCheckTable,4,FALSE)), "",(VLOOKUP(SMALL('Error Check Table-Hidden'!B:B,ROW(C694)-3),ErrorCheckTable,4,FALSE)))</f>
        <v/>
      </c>
    </row>
    <row r="695" spans="2:4" x14ac:dyDescent="0.2">
      <c r="B695" s="67" t="str">
        <f t="shared" si="11"/>
        <v/>
      </c>
      <c r="C695" s="67" t="str">
        <f>IF(ISERROR(VLOOKUP(SMALL('Error Check Table-Hidden'!B:B,ROW(C695)-3),ErrorCheckTable,3,FALSE)), "",(VLOOKUP(SMALL('Error Check Table-Hidden'!B:B,ROW(C695)-3),ErrorCheckTable,3,FALSE)))</f>
        <v/>
      </c>
      <c r="D695" s="59" t="str">
        <f>IF(ISERROR(VLOOKUP(SMALL('Error Check Table-Hidden'!B:B,ROW(C695)-3),ErrorCheckTable,4,FALSE)), "",(VLOOKUP(SMALL('Error Check Table-Hidden'!B:B,ROW(C695)-3),ErrorCheckTable,4,FALSE)))</f>
        <v/>
      </c>
    </row>
    <row r="696" spans="2:4" x14ac:dyDescent="0.2">
      <c r="B696" s="67" t="str">
        <f t="shared" si="11"/>
        <v/>
      </c>
      <c r="C696" s="67" t="str">
        <f>IF(ISERROR(VLOOKUP(SMALL('Error Check Table-Hidden'!B:B,ROW(C696)-3),ErrorCheckTable,3,FALSE)), "",(VLOOKUP(SMALL('Error Check Table-Hidden'!B:B,ROW(C696)-3),ErrorCheckTable,3,FALSE)))</f>
        <v/>
      </c>
      <c r="D696" s="59" t="str">
        <f>IF(ISERROR(VLOOKUP(SMALL('Error Check Table-Hidden'!B:B,ROW(C696)-3),ErrorCheckTable,4,FALSE)), "",(VLOOKUP(SMALL('Error Check Table-Hidden'!B:B,ROW(C696)-3),ErrorCheckTable,4,FALSE)))</f>
        <v/>
      </c>
    </row>
    <row r="697" spans="2:4" x14ac:dyDescent="0.2">
      <c r="B697" s="67" t="str">
        <f t="shared" si="11"/>
        <v/>
      </c>
      <c r="C697" s="67" t="str">
        <f>IF(ISERROR(VLOOKUP(SMALL('Error Check Table-Hidden'!B:B,ROW(C697)-3),ErrorCheckTable,3,FALSE)), "",(VLOOKUP(SMALL('Error Check Table-Hidden'!B:B,ROW(C697)-3),ErrorCheckTable,3,FALSE)))</f>
        <v/>
      </c>
      <c r="D697" s="59" t="str">
        <f>IF(ISERROR(VLOOKUP(SMALL('Error Check Table-Hidden'!B:B,ROW(C697)-3),ErrorCheckTable,4,FALSE)), "",(VLOOKUP(SMALL('Error Check Table-Hidden'!B:B,ROW(C697)-3),ErrorCheckTable,4,FALSE)))</f>
        <v/>
      </c>
    </row>
    <row r="698" spans="2:4" x14ac:dyDescent="0.2">
      <c r="B698" s="67" t="str">
        <f t="shared" si="11"/>
        <v/>
      </c>
      <c r="C698" s="67" t="str">
        <f>IF(ISERROR(VLOOKUP(SMALL('Error Check Table-Hidden'!B:B,ROW(C698)-3),ErrorCheckTable,3,FALSE)), "",(VLOOKUP(SMALL('Error Check Table-Hidden'!B:B,ROW(C698)-3),ErrorCheckTable,3,FALSE)))</f>
        <v/>
      </c>
      <c r="D698" s="59" t="str">
        <f>IF(ISERROR(VLOOKUP(SMALL('Error Check Table-Hidden'!B:B,ROW(C698)-3),ErrorCheckTable,4,FALSE)), "",(VLOOKUP(SMALL('Error Check Table-Hidden'!B:B,ROW(C698)-3),ErrorCheckTable,4,FALSE)))</f>
        <v/>
      </c>
    </row>
    <row r="699" spans="2:4" x14ac:dyDescent="0.2">
      <c r="B699" s="67" t="str">
        <f t="shared" si="11"/>
        <v/>
      </c>
      <c r="C699" s="67" t="str">
        <f>IF(ISERROR(VLOOKUP(SMALL('Error Check Table-Hidden'!B:B,ROW(C699)-3),ErrorCheckTable,3,FALSE)), "",(VLOOKUP(SMALL('Error Check Table-Hidden'!B:B,ROW(C699)-3),ErrorCheckTable,3,FALSE)))</f>
        <v/>
      </c>
      <c r="D699" s="59" t="str">
        <f>IF(ISERROR(VLOOKUP(SMALL('Error Check Table-Hidden'!B:B,ROW(C699)-3),ErrorCheckTable,4,FALSE)), "",(VLOOKUP(SMALL('Error Check Table-Hidden'!B:B,ROW(C699)-3),ErrorCheckTable,4,FALSE)))</f>
        <v/>
      </c>
    </row>
    <row r="700" spans="2:4" x14ac:dyDescent="0.2">
      <c r="B700" s="67" t="str">
        <f t="shared" si="11"/>
        <v/>
      </c>
      <c r="C700" s="67" t="str">
        <f>IF(ISERROR(VLOOKUP(SMALL('Error Check Table-Hidden'!B:B,ROW(C700)-3),ErrorCheckTable,3,FALSE)), "",(VLOOKUP(SMALL('Error Check Table-Hidden'!B:B,ROW(C700)-3),ErrorCheckTable,3,FALSE)))</f>
        <v/>
      </c>
      <c r="D700" s="59" t="str">
        <f>IF(ISERROR(VLOOKUP(SMALL('Error Check Table-Hidden'!B:B,ROW(C700)-3),ErrorCheckTable,4,FALSE)), "",(VLOOKUP(SMALL('Error Check Table-Hidden'!B:B,ROW(C700)-3),ErrorCheckTable,4,FALSE)))</f>
        <v/>
      </c>
    </row>
    <row r="701" spans="2:4" x14ac:dyDescent="0.2">
      <c r="B701" s="67" t="str">
        <f t="shared" si="11"/>
        <v/>
      </c>
      <c r="C701" s="67" t="str">
        <f>IF(ISERROR(VLOOKUP(SMALL('Error Check Table-Hidden'!B:B,ROW(C701)-3),ErrorCheckTable,3,FALSE)), "",(VLOOKUP(SMALL('Error Check Table-Hidden'!B:B,ROW(C701)-3),ErrorCheckTable,3,FALSE)))</f>
        <v/>
      </c>
      <c r="D701" s="59" t="str">
        <f>IF(ISERROR(VLOOKUP(SMALL('Error Check Table-Hidden'!B:B,ROW(C701)-3),ErrorCheckTable,4,FALSE)), "",(VLOOKUP(SMALL('Error Check Table-Hidden'!B:B,ROW(C701)-3),ErrorCheckTable,4,FALSE)))</f>
        <v/>
      </c>
    </row>
    <row r="702" spans="2:4" x14ac:dyDescent="0.2">
      <c r="B702" s="67" t="str">
        <f t="shared" si="11"/>
        <v/>
      </c>
      <c r="C702" s="67" t="str">
        <f>IF(ISERROR(VLOOKUP(SMALL('Error Check Table-Hidden'!B:B,ROW(C702)-3),ErrorCheckTable,3,FALSE)), "",(VLOOKUP(SMALL('Error Check Table-Hidden'!B:B,ROW(C702)-3),ErrorCheckTable,3,FALSE)))</f>
        <v/>
      </c>
      <c r="D702" s="59" t="str">
        <f>IF(ISERROR(VLOOKUP(SMALL('Error Check Table-Hidden'!B:B,ROW(C702)-3),ErrorCheckTable,4,FALSE)), "",(VLOOKUP(SMALL('Error Check Table-Hidden'!B:B,ROW(C702)-3),ErrorCheckTable,4,FALSE)))</f>
        <v/>
      </c>
    </row>
    <row r="703" spans="2:4" x14ac:dyDescent="0.2">
      <c r="B703" s="67" t="str">
        <f t="shared" si="11"/>
        <v/>
      </c>
      <c r="C703" s="67" t="str">
        <f>IF(ISERROR(VLOOKUP(SMALL('Error Check Table-Hidden'!B:B,ROW(C703)-3),ErrorCheckTable,3,FALSE)), "",(VLOOKUP(SMALL('Error Check Table-Hidden'!B:B,ROW(C703)-3),ErrorCheckTable,3,FALSE)))</f>
        <v/>
      </c>
      <c r="D703" s="59" t="str">
        <f>IF(ISERROR(VLOOKUP(SMALL('Error Check Table-Hidden'!B:B,ROW(C703)-3),ErrorCheckTable,4,FALSE)), "",(VLOOKUP(SMALL('Error Check Table-Hidden'!B:B,ROW(C703)-3),ErrorCheckTable,4,FALSE)))</f>
        <v/>
      </c>
    </row>
    <row r="704" spans="2:4" x14ac:dyDescent="0.2">
      <c r="B704" s="67" t="str">
        <f t="shared" si="11"/>
        <v/>
      </c>
      <c r="C704" s="67" t="str">
        <f>IF(ISERROR(VLOOKUP(SMALL('Error Check Table-Hidden'!B:B,ROW(C704)-3),ErrorCheckTable,3,FALSE)), "",(VLOOKUP(SMALL('Error Check Table-Hidden'!B:B,ROW(C704)-3),ErrorCheckTable,3,FALSE)))</f>
        <v/>
      </c>
      <c r="D704" s="59" t="str">
        <f>IF(ISERROR(VLOOKUP(SMALL('Error Check Table-Hidden'!B:B,ROW(C704)-3),ErrorCheckTable,4,FALSE)), "",(VLOOKUP(SMALL('Error Check Table-Hidden'!B:B,ROW(C704)-3),ErrorCheckTable,4,FALSE)))</f>
        <v/>
      </c>
    </row>
    <row r="705" spans="2:4" x14ac:dyDescent="0.2">
      <c r="B705" s="67" t="str">
        <f t="shared" si="11"/>
        <v/>
      </c>
      <c r="C705" s="67" t="str">
        <f>IF(ISERROR(VLOOKUP(SMALL('Error Check Table-Hidden'!B:B,ROW(C705)-3),ErrorCheckTable,3,FALSE)), "",(VLOOKUP(SMALL('Error Check Table-Hidden'!B:B,ROW(C705)-3),ErrorCheckTable,3,FALSE)))</f>
        <v/>
      </c>
      <c r="D705" s="59" t="str">
        <f>IF(ISERROR(VLOOKUP(SMALL('Error Check Table-Hidden'!B:B,ROW(C705)-3),ErrorCheckTable,4,FALSE)), "",(VLOOKUP(SMALL('Error Check Table-Hidden'!B:B,ROW(C705)-3),ErrorCheckTable,4,FALSE)))</f>
        <v/>
      </c>
    </row>
    <row r="706" spans="2:4" x14ac:dyDescent="0.2">
      <c r="B706" s="67" t="str">
        <f t="shared" si="11"/>
        <v/>
      </c>
      <c r="C706" s="67" t="str">
        <f>IF(ISERROR(VLOOKUP(SMALL('Error Check Table-Hidden'!B:B,ROW(C706)-3),ErrorCheckTable,3,FALSE)), "",(VLOOKUP(SMALL('Error Check Table-Hidden'!B:B,ROW(C706)-3),ErrorCheckTable,3,FALSE)))</f>
        <v/>
      </c>
      <c r="D706" s="59" t="str">
        <f>IF(ISERROR(VLOOKUP(SMALL('Error Check Table-Hidden'!B:B,ROW(C706)-3),ErrorCheckTable,4,FALSE)), "",(VLOOKUP(SMALL('Error Check Table-Hidden'!B:B,ROW(C706)-3),ErrorCheckTable,4,FALSE)))</f>
        <v/>
      </c>
    </row>
    <row r="707" spans="2:4" x14ac:dyDescent="0.2">
      <c r="B707" s="67" t="str">
        <f t="shared" si="11"/>
        <v/>
      </c>
      <c r="C707" s="67" t="str">
        <f>IF(ISERROR(VLOOKUP(SMALL('Error Check Table-Hidden'!B:B,ROW(C707)-3),ErrorCheckTable,3,FALSE)), "",(VLOOKUP(SMALL('Error Check Table-Hidden'!B:B,ROW(C707)-3),ErrorCheckTable,3,FALSE)))</f>
        <v/>
      </c>
      <c r="D707" s="59" t="str">
        <f>IF(ISERROR(VLOOKUP(SMALL('Error Check Table-Hidden'!B:B,ROW(C707)-3),ErrorCheckTable,4,FALSE)), "",(VLOOKUP(SMALL('Error Check Table-Hidden'!B:B,ROW(C707)-3),ErrorCheckTable,4,FALSE)))</f>
        <v/>
      </c>
    </row>
    <row r="708" spans="2:4" x14ac:dyDescent="0.2">
      <c r="B708" s="67" t="str">
        <f t="shared" si="11"/>
        <v/>
      </c>
      <c r="C708" s="67" t="str">
        <f>IF(ISERROR(VLOOKUP(SMALL('Error Check Table-Hidden'!B:B,ROW(C708)-3),ErrorCheckTable,3,FALSE)), "",(VLOOKUP(SMALL('Error Check Table-Hidden'!B:B,ROW(C708)-3),ErrorCheckTable,3,FALSE)))</f>
        <v/>
      </c>
      <c r="D708" s="59" t="str">
        <f>IF(ISERROR(VLOOKUP(SMALL('Error Check Table-Hidden'!B:B,ROW(C708)-3),ErrorCheckTable,4,FALSE)), "",(VLOOKUP(SMALL('Error Check Table-Hidden'!B:B,ROW(C708)-3),ErrorCheckTable,4,FALSE)))</f>
        <v/>
      </c>
    </row>
    <row r="709" spans="2:4" x14ac:dyDescent="0.2">
      <c r="B709" s="67" t="str">
        <f t="shared" si="11"/>
        <v/>
      </c>
      <c r="C709" s="67" t="str">
        <f>IF(ISERROR(VLOOKUP(SMALL('Error Check Table-Hidden'!B:B,ROW(C709)-3),ErrorCheckTable,3,FALSE)), "",(VLOOKUP(SMALL('Error Check Table-Hidden'!B:B,ROW(C709)-3),ErrorCheckTable,3,FALSE)))</f>
        <v/>
      </c>
      <c r="D709" s="59" t="str">
        <f>IF(ISERROR(VLOOKUP(SMALL('Error Check Table-Hidden'!B:B,ROW(C709)-3),ErrorCheckTable,4,FALSE)), "",(VLOOKUP(SMALL('Error Check Table-Hidden'!B:B,ROW(C709)-3),ErrorCheckTable,4,FALSE)))</f>
        <v/>
      </c>
    </row>
    <row r="710" spans="2:4" x14ac:dyDescent="0.2">
      <c r="B710" s="67" t="str">
        <f t="shared" si="11"/>
        <v/>
      </c>
      <c r="C710" s="67" t="str">
        <f>IF(ISERROR(VLOOKUP(SMALL('Error Check Table-Hidden'!B:B,ROW(C710)-3),ErrorCheckTable,3,FALSE)), "",(VLOOKUP(SMALL('Error Check Table-Hidden'!B:B,ROW(C710)-3),ErrorCheckTable,3,FALSE)))</f>
        <v/>
      </c>
      <c r="D710" s="59" t="str">
        <f>IF(ISERROR(VLOOKUP(SMALL('Error Check Table-Hidden'!B:B,ROW(C710)-3),ErrorCheckTable,4,FALSE)), "",(VLOOKUP(SMALL('Error Check Table-Hidden'!B:B,ROW(C710)-3),ErrorCheckTable,4,FALSE)))</f>
        <v/>
      </c>
    </row>
    <row r="711" spans="2:4" x14ac:dyDescent="0.2">
      <c r="B711" s="67" t="str">
        <f t="shared" si="11"/>
        <v/>
      </c>
      <c r="C711" s="67" t="str">
        <f>IF(ISERROR(VLOOKUP(SMALL('Error Check Table-Hidden'!B:B,ROW(C711)-3),ErrorCheckTable,3,FALSE)), "",(VLOOKUP(SMALL('Error Check Table-Hidden'!B:B,ROW(C711)-3),ErrorCheckTable,3,FALSE)))</f>
        <v/>
      </c>
      <c r="D711" s="59" t="str">
        <f>IF(ISERROR(VLOOKUP(SMALL('Error Check Table-Hidden'!B:B,ROW(C711)-3),ErrorCheckTable,4,FALSE)), "",(VLOOKUP(SMALL('Error Check Table-Hidden'!B:B,ROW(C711)-3),ErrorCheckTable,4,FALSE)))</f>
        <v/>
      </c>
    </row>
    <row r="712" spans="2:4" x14ac:dyDescent="0.2">
      <c r="B712" s="67" t="str">
        <f t="shared" si="11"/>
        <v/>
      </c>
      <c r="C712" s="67" t="str">
        <f>IF(ISERROR(VLOOKUP(SMALL('Error Check Table-Hidden'!B:B,ROW(C712)-3),ErrorCheckTable,3,FALSE)), "",(VLOOKUP(SMALL('Error Check Table-Hidden'!B:B,ROW(C712)-3),ErrorCheckTable,3,FALSE)))</f>
        <v/>
      </c>
      <c r="D712" s="59" t="str">
        <f>IF(ISERROR(VLOOKUP(SMALL('Error Check Table-Hidden'!B:B,ROW(C712)-3),ErrorCheckTable,4,FALSE)), "",(VLOOKUP(SMALL('Error Check Table-Hidden'!B:B,ROW(C712)-3),ErrorCheckTable,4,FALSE)))</f>
        <v/>
      </c>
    </row>
    <row r="713" spans="2:4" x14ac:dyDescent="0.2">
      <c r="B713" s="67" t="str">
        <f t="shared" si="11"/>
        <v/>
      </c>
      <c r="C713" s="67" t="str">
        <f>IF(ISERROR(VLOOKUP(SMALL('Error Check Table-Hidden'!B:B,ROW(C713)-3),ErrorCheckTable,3,FALSE)), "",(VLOOKUP(SMALL('Error Check Table-Hidden'!B:B,ROW(C713)-3),ErrorCheckTable,3,FALSE)))</f>
        <v/>
      </c>
      <c r="D713" s="59" t="str">
        <f>IF(ISERROR(VLOOKUP(SMALL('Error Check Table-Hidden'!B:B,ROW(C713)-3),ErrorCheckTable,4,FALSE)), "",(VLOOKUP(SMALL('Error Check Table-Hidden'!B:B,ROW(C713)-3),ErrorCheckTable,4,FALSE)))</f>
        <v/>
      </c>
    </row>
    <row r="714" spans="2:4" x14ac:dyDescent="0.2">
      <c r="B714" s="67" t="str">
        <f t="shared" si="11"/>
        <v/>
      </c>
      <c r="C714" s="67" t="str">
        <f>IF(ISERROR(VLOOKUP(SMALL('Error Check Table-Hidden'!B:B,ROW(C714)-3),ErrorCheckTable,3,FALSE)), "",(VLOOKUP(SMALL('Error Check Table-Hidden'!B:B,ROW(C714)-3),ErrorCheckTable,3,FALSE)))</f>
        <v/>
      </c>
      <c r="D714" s="59" t="str">
        <f>IF(ISERROR(VLOOKUP(SMALL('Error Check Table-Hidden'!B:B,ROW(C714)-3),ErrorCheckTable,4,FALSE)), "",(VLOOKUP(SMALL('Error Check Table-Hidden'!B:B,ROW(C714)-3),ErrorCheckTable,4,FALSE)))</f>
        <v/>
      </c>
    </row>
    <row r="715" spans="2:4" x14ac:dyDescent="0.2">
      <c r="B715" s="67" t="str">
        <f t="shared" si="11"/>
        <v/>
      </c>
      <c r="C715" s="67" t="str">
        <f>IF(ISERROR(VLOOKUP(SMALL('Error Check Table-Hidden'!B:B,ROW(C715)-3),ErrorCheckTable,3,FALSE)), "",(VLOOKUP(SMALL('Error Check Table-Hidden'!B:B,ROW(C715)-3),ErrorCheckTable,3,FALSE)))</f>
        <v/>
      </c>
      <c r="D715" s="59" t="str">
        <f>IF(ISERROR(VLOOKUP(SMALL('Error Check Table-Hidden'!B:B,ROW(C715)-3),ErrorCheckTable,4,FALSE)), "",(VLOOKUP(SMALL('Error Check Table-Hidden'!B:B,ROW(C715)-3),ErrorCheckTable,4,FALSE)))</f>
        <v/>
      </c>
    </row>
    <row r="716" spans="2:4" x14ac:dyDescent="0.2">
      <c r="B716" s="67" t="str">
        <f t="shared" si="11"/>
        <v/>
      </c>
      <c r="C716" s="67" t="str">
        <f>IF(ISERROR(VLOOKUP(SMALL('Error Check Table-Hidden'!B:B,ROW(C716)-3),ErrorCheckTable,3,FALSE)), "",(VLOOKUP(SMALL('Error Check Table-Hidden'!B:B,ROW(C716)-3),ErrorCheckTable,3,FALSE)))</f>
        <v/>
      </c>
      <c r="D716" s="59" t="str">
        <f>IF(ISERROR(VLOOKUP(SMALL('Error Check Table-Hidden'!B:B,ROW(C716)-3),ErrorCheckTable,4,FALSE)), "",(VLOOKUP(SMALL('Error Check Table-Hidden'!B:B,ROW(C716)-3),ErrorCheckTable,4,FALSE)))</f>
        <v/>
      </c>
    </row>
    <row r="717" spans="2:4" x14ac:dyDescent="0.2">
      <c r="B717" s="67" t="str">
        <f t="shared" si="11"/>
        <v/>
      </c>
      <c r="C717" s="67" t="str">
        <f>IF(ISERROR(VLOOKUP(SMALL('Error Check Table-Hidden'!B:B,ROW(C717)-3),ErrorCheckTable,3,FALSE)), "",(VLOOKUP(SMALL('Error Check Table-Hidden'!B:B,ROW(C717)-3),ErrorCheckTable,3,FALSE)))</f>
        <v/>
      </c>
      <c r="D717" s="59" t="str">
        <f>IF(ISERROR(VLOOKUP(SMALL('Error Check Table-Hidden'!B:B,ROW(C717)-3),ErrorCheckTable,4,FALSE)), "",(VLOOKUP(SMALL('Error Check Table-Hidden'!B:B,ROW(C717)-3),ErrorCheckTable,4,FALSE)))</f>
        <v/>
      </c>
    </row>
    <row r="718" spans="2:4" x14ac:dyDescent="0.2">
      <c r="B718" s="67" t="str">
        <f t="shared" si="11"/>
        <v/>
      </c>
      <c r="C718" s="67" t="str">
        <f>IF(ISERROR(VLOOKUP(SMALL('Error Check Table-Hidden'!B:B,ROW(C718)-3),ErrorCheckTable,3,FALSE)), "",(VLOOKUP(SMALL('Error Check Table-Hidden'!B:B,ROW(C718)-3),ErrorCheckTable,3,FALSE)))</f>
        <v/>
      </c>
      <c r="D718" s="59" t="str">
        <f>IF(ISERROR(VLOOKUP(SMALL('Error Check Table-Hidden'!B:B,ROW(C718)-3),ErrorCheckTable,4,FALSE)), "",(VLOOKUP(SMALL('Error Check Table-Hidden'!B:B,ROW(C718)-3),ErrorCheckTable,4,FALSE)))</f>
        <v/>
      </c>
    </row>
    <row r="719" spans="2:4" x14ac:dyDescent="0.2">
      <c r="B719" s="67" t="str">
        <f t="shared" si="11"/>
        <v/>
      </c>
      <c r="C719" s="67" t="str">
        <f>IF(ISERROR(VLOOKUP(SMALL('Error Check Table-Hidden'!B:B,ROW(C719)-3),ErrorCheckTable,3,FALSE)), "",(VLOOKUP(SMALL('Error Check Table-Hidden'!B:B,ROW(C719)-3),ErrorCheckTable,3,FALSE)))</f>
        <v/>
      </c>
      <c r="D719" s="59" t="str">
        <f>IF(ISERROR(VLOOKUP(SMALL('Error Check Table-Hidden'!B:B,ROW(C719)-3),ErrorCheckTable,4,FALSE)), "",(VLOOKUP(SMALL('Error Check Table-Hidden'!B:B,ROW(C719)-3),ErrorCheckTable,4,FALSE)))</f>
        <v/>
      </c>
    </row>
    <row r="720" spans="2:4" x14ac:dyDescent="0.2">
      <c r="B720" s="67" t="str">
        <f t="shared" si="11"/>
        <v/>
      </c>
      <c r="C720" s="67" t="str">
        <f>IF(ISERROR(VLOOKUP(SMALL('Error Check Table-Hidden'!B:B,ROW(C720)-3),ErrorCheckTable,3,FALSE)), "",(VLOOKUP(SMALL('Error Check Table-Hidden'!B:B,ROW(C720)-3),ErrorCheckTable,3,FALSE)))</f>
        <v/>
      </c>
      <c r="D720" s="59" t="str">
        <f>IF(ISERROR(VLOOKUP(SMALL('Error Check Table-Hidden'!B:B,ROW(C720)-3),ErrorCheckTable,4,FALSE)), "",(VLOOKUP(SMALL('Error Check Table-Hidden'!B:B,ROW(C720)-3),ErrorCheckTable,4,FALSE)))</f>
        <v/>
      </c>
    </row>
    <row r="721" spans="2:4" x14ac:dyDescent="0.2">
      <c r="B721" s="67" t="str">
        <f t="shared" si="11"/>
        <v/>
      </c>
      <c r="C721" s="67" t="str">
        <f>IF(ISERROR(VLOOKUP(SMALL('Error Check Table-Hidden'!B:B,ROW(C721)-3),ErrorCheckTable,3,FALSE)), "",(VLOOKUP(SMALL('Error Check Table-Hidden'!B:B,ROW(C721)-3),ErrorCheckTable,3,FALSE)))</f>
        <v/>
      </c>
      <c r="D721" s="59" t="str">
        <f>IF(ISERROR(VLOOKUP(SMALL('Error Check Table-Hidden'!B:B,ROW(C721)-3),ErrorCheckTable,4,FALSE)), "",(VLOOKUP(SMALL('Error Check Table-Hidden'!B:B,ROW(C721)-3),ErrorCheckTable,4,FALSE)))</f>
        <v/>
      </c>
    </row>
    <row r="722" spans="2:4" x14ac:dyDescent="0.2">
      <c r="B722" s="67" t="str">
        <f t="shared" si="11"/>
        <v/>
      </c>
      <c r="C722" s="67" t="str">
        <f>IF(ISERROR(VLOOKUP(SMALL('Error Check Table-Hidden'!B:B,ROW(C722)-3),ErrorCheckTable,3,FALSE)), "",(VLOOKUP(SMALL('Error Check Table-Hidden'!B:B,ROW(C722)-3),ErrorCheckTable,3,FALSE)))</f>
        <v/>
      </c>
      <c r="D722" s="59" t="str">
        <f>IF(ISERROR(VLOOKUP(SMALL('Error Check Table-Hidden'!B:B,ROW(C722)-3),ErrorCheckTable,4,FALSE)), "",(VLOOKUP(SMALL('Error Check Table-Hidden'!B:B,ROW(C722)-3),ErrorCheckTable,4,FALSE)))</f>
        <v/>
      </c>
    </row>
    <row r="723" spans="2:4" x14ac:dyDescent="0.2">
      <c r="B723" s="67" t="str">
        <f t="shared" si="11"/>
        <v/>
      </c>
      <c r="C723" s="67" t="str">
        <f>IF(ISERROR(VLOOKUP(SMALL('Error Check Table-Hidden'!B:B,ROW(C723)-3),ErrorCheckTable,3,FALSE)), "",(VLOOKUP(SMALL('Error Check Table-Hidden'!B:B,ROW(C723)-3),ErrorCheckTable,3,FALSE)))</f>
        <v/>
      </c>
      <c r="D723" s="59" t="str">
        <f>IF(ISERROR(VLOOKUP(SMALL('Error Check Table-Hidden'!B:B,ROW(C723)-3),ErrorCheckTable,4,FALSE)), "",(VLOOKUP(SMALL('Error Check Table-Hidden'!B:B,ROW(C723)-3),ErrorCheckTable,4,FALSE)))</f>
        <v/>
      </c>
    </row>
    <row r="724" spans="2:4" x14ac:dyDescent="0.2">
      <c r="B724" s="67" t="str">
        <f t="shared" si="11"/>
        <v/>
      </c>
      <c r="C724" s="67" t="str">
        <f>IF(ISERROR(VLOOKUP(SMALL('Error Check Table-Hidden'!B:B,ROW(C724)-3),ErrorCheckTable,3,FALSE)), "",(VLOOKUP(SMALL('Error Check Table-Hidden'!B:B,ROW(C724)-3),ErrorCheckTable,3,FALSE)))</f>
        <v/>
      </c>
      <c r="D724" s="59" t="str">
        <f>IF(ISERROR(VLOOKUP(SMALL('Error Check Table-Hidden'!B:B,ROW(C724)-3),ErrorCheckTable,4,FALSE)), "",(VLOOKUP(SMALL('Error Check Table-Hidden'!B:B,ROW(C724)-3),ErrorCheckTable,4,FALSE)))</f>
        <v/>
      </c>
    </row>
    <row r="725" spans="2:4" x14ac:dyDescent="0.2">
      <c r="B725" s="67" t="str">
        <f t="shared" si="11"/>
        <v/>
      </c>
      <c r="C725" s="67" t="str">
        <f>IF(ISERROR(VLOOKUP(SMALL('Error Check Table-Hidden'!B:B,ROW(C725)-3),ErrorCheckTable,3,FALSE)), "",(VLOOKUP(SMALL('Error Check Table-Hidden'!B:B,ROW(C725)-3),ErrorCheckTable,3,FALSE)))</f>
        <v/>
      </c>
      <c r="D725" s="59" t="str">
        <f>IF(ISERROR(VLOOKUP(SMALL('Error Check Table-Hidden'!B:B,ROW(C725)-3),ErrorCheckTable,4,FALSE)), "",(VLOOKUP(SMALL('Error Check Table-Hidden'!B:B,ROW(C725)-3),ErrorCheckTable,4,FALSE)))</f>
        <v/>
      </c>
    </row>
    <row r="726" spans="2:4" x14ac:dyDescent="0.2">
      <c r="B726" s="67" t="str">
        <f t="shared" si="11"/>
        <v/>
      </c>
      <c r="C726" s="67" t="str">
        <f>IF(ISERROR(VLOOKUP(SMALL('Error Check Table-Hidden'!B:B,ROW(C726)-3),ErrorCheckTable,3,FALSE)), "",(VLOOKUP(SMALL('Error Check Table-Hidden'!B:B,ROW(C726)-3),ErrorCheckTable,3,FALSE)))</f>
        <v/>
      </c>
      <c r="D726" s="59" t="str">
        <f>IF(ISERROR(VLOOKUP(SMALL('Error Check Table-Hidden'!B:B,ROW(C726)-3),ErrorCheckTable,4,FALSE)), "",(VLOOKUP(SMALL('Error Check Table-Hidden'!B:B,ROW(C726)-3),ErrorCheckTable,4,FALSE)))</f>
        <v/>
      </c>
    </row>
    <row r="727" spans="2:4" x14ac:dyDescent="0.2">
      <c r="B727" s="67" t="str">
        <f t="shared" si="11"/>
        <v/>
      </c>
      <c r="C727" s="67" t="str">
        <f>IF(ISERROR(VLOOKUP(SMALL('Error Check Table-Hidden'!B:B,ROW(C727)-3),ErrorCheckTable,3,FALSE)), "",(VLOOKUP(SMALL('Error Check Table-Hidden'!B:B,ROW(C727)-3),ErrorCheckTable,3,FALSE)))</f>
        <v/>
      </c>
      <c r="D727" s="59" t="str">
        <f>IF(ISERROR(VLOOKUP(SMALL('Error Check Table-Hidden'!B:B,ROW(C727)-3),ErrorCheckTable,4,FALSE)), "",(VLOOKUP(SMALL('Error Check Table-Hidden'!B:B,ROW(C727)-3),ErrorCheckTable,4,FALSE)))</f>
        <v/>
      </c>
    </row>
    <row r="728" spans="2:4" x14ac:dyDescent="0.2">
      <c r="B728" s="67" t="str">
        <f t="shared" si="11"/>
        <v/>
      </c>
      <c r="C728" s="67" t="str">
        <f>IF(ISERROR(VLOOKUP(SMALL('Error Check Table-Hidden'!B:B,ROW(C728)-3),ErrorCheckTable,3,FALSE)), "",(VLOOKUP(SMALL('Error Check Table-Hidden'!B:B,ROW(C728)-3),ErrorCheckTable,3,FALSE)))</f>
        <v/>
      </c>
      <c r="D728" s="59" t="str">
        <f>IF(ISERROR(VLOOKUP(SMALL('Error Check Table-Hidden'!B:B,ROW(C728)-3),ErrorCheckTable,4,FALSE)), "",(VLOOKUP(SMALL('Error Check Table-Hidden'!B:B,ROW(C728)-3),ErrorCheckTable,4,FALSE)))</f>
        <v/>
      </c>
    </row>
    <row r="729" spans="2:4" x14ac:dyDescent="0.2">
      <c r="B729" s="67" t="str">
        <f t="shared" si="11"/>
        <v/>
      </c>
      <c r="C729" s="67" t="str">
        <f>IF(ISERROR(VLOOKUP(SMALL('Error Check Table-Hidden'!B:B,ROW(C729)-3),ErrorCheckTable,3,FALSE)), "",(VLOOKUP(SMALL('Error Check Table-Hidden'!B:B,ROW(C729)-3),ErrorCheckTable,3,FALSE)))</f>
        <v/>
      </c>
      <c r="D729" s="59" t="str">
        <f>IF(ISERROR(VLOOKUP(SMALL('Error Check Table-Hidden'!B:B,ROW(C729)-3),ErrorCheckTable,4,FALSE)), "",(VLOOKUP(SMALL('Error Check Table-Hidden'!B:B,ROW(C729)-3),ErrorCheckTable,4,FALSE)))</f>
        <v/>
      </c>
    </row>
    <row r="730" spans="2:4" x14ac:dyDescent="0.2">
      <c r="B730" s="67" t="str">
        <f t="shared" si="11"/>
        <v/>
      </c>
      <c r="C730" s="67" t="str">
        <f>IF(ISERROR(VLOOKUP(SMALL('Error Check Table-Hidden'!B:B,ROW(C730)-3),ErrorCheckTable,3,FALSE)), "",(VLOOKUP(SMALL('Error Check Table-Hidden'!B:B,ROW(C730)-3),ErrorCheckTable,3,FALSE)))</f>
        <v/>
      </c>
      <c r="D730" s="59" t="str">
        <f>IF(ISERROR(VLOOKUP(SMALL('Error Check Table-Hidden'!B:B,ROW(C730)-3),ErrorCheckTable,4,FALSE)), "",(VLOOKUP(SMALL('Error Check Table-Hidden'!B:B,ROW(C730)-3),ErrorCheckTable,4,FALSE)))</f>
        <v/>
      </c>
    </row>
    <row r="731" spans="2:4" x14ac:dyDescent="0.2">
      <c r="B731" s="67" t="str">
        <f t="shared" si="11"/>
        <v/>
      </c>
      <c r="C731" s="67" t="str">
        <f>IF(ISERROR(VLOOKUP(SMALL('Error Check Table-Hidden'!B:B,ROW(C731)-3),ErrorCheckTable,3,FALSE)), "",(VLOOKUP(SMALL('Error Check Table-Hidden'!B:B,ROW(C731)-3),ErrorCheckTable,3,FALSE)))</f>
        <v/>
      </c>
      <c r="D731" s="59" t="str">
        <f>IF(ISERROR(VLOOKUP(SMALL('Error Check Table-Hidden'!B:B,ROW(C731)-3),ErrorCheckTable,4,FALSE)), "",(VLOOKUP(SMALL('Error Check Table-Hidden'!B:B,ROW(C731)-3),ErrorCheckTable,4,FALSE)))</f>
        <v/>
      </c>
    </row>
    <row r="732" spans="2:4" x14ac:dyDescent="0.2">
      <c r="B732" s="67" t="str">
        <f t="shared" si="11"/>
        <v/>
      </c>
      <c r="C732" s="67" t="str">
        <f>IF(ISERROR(VLOOKUP(SMALL('Error Check Table-Hidden'!B:B,ROW(C732)-3),ErrorCheckTable,3,FALSE)), "",(VLOOKUP(SMALL('Error Check Table-Hidden'!B:B,ROW(C732)-3),ErrorCheckTable,3,FALSE)))</f>
        <v/>
      </c>
      <c r="D732" s="59" t="str">
        <f>IF(ISERROR(VLOOKUP(SMALL('Error Check Table-Hidden'!B:B,ROW(C732)-3),ErrorCheckTable,4,FALSE)), "",(VLOOKUP(SMALL('Error Check Table-Hidden'!B:B,ROW(C732)-3),ErrorCheckTable,4,FALSE)))</f>
        <v/>
      </c>
    </row>
    <row r="733" spans="2:4" x14ac:dyDescent="0.2">
      <c r="B733" s="67" t="str">
        <f t="shared" si="11"/>
        <v/>
      </c>
      <c r="C733" s="67" t="str">
        <f>IF(ISERROR(VLOOKUP(SMALL('Error Check Table-Hidden'!B:B,ROW(C733)-3),ErrorCheckTable,3,FALSE)), "",(VLOOKUP(SMALL('Error Check Table-Hidden'!B:B,ROW(C733)-3),ErrorCheckTable,3,FALSE)))</f>
        <v/>
      </c>
      <c r="D733" s="59" t="str">
        <f>IF(ISERROR(VLOOKUP(SMALL('Error Check Table-Hidden'!B:B,ROW(C733)-3),ErrorCheckTable,4,FALSE)), "",(VLOOKUP(SMALL('Error Check Table-Hidden'!B:B,ROW(C733)-3),ErrorCheckTable,4,FALSE)))</f>
        <v/>
      </c>
    </row>
    <row r="734" spans="2:4" x14ac:dyDescent="0.2">
      <c r="B734" s="67" t="str">
        <f t="shared" si="11"/>
        <v/>
      </c>
      <c r="C734" s="67" t="str">
        <f>IF(ISERROR(VLOOKUP(SMALL('Error Check Table-Hidden'!B:B,ROW(C734)-3),ErrorCheckTable,3,FALSE)), "",(VLOOKUP(SMALL('Error Check Table-Hidden'!B:B,ROW(C734)-3),ErrorCheckTable,3,FALSE)))</f>
        <v/>
      </c>
      <c r="D734" s="59" t="str">
        <f>IF(ISERROR(VLOOKUP(SMALL('Error Check Table-Hidden'!B:B,ROW(C734)-3),ErrorCheckTable,4,FALSE)), "",(VLOOKUP(SMALL('Error Check Table-Hidden'!B:B,ROW(C734)-3),ErrorCheckTable,4,FALSE)))</f>
        <v/>
      </c>
    </row>
    <row r="735" spans="2:4" x14ac:dyDescent="0.2">
      <c r="B735" s="67" t="str">
        <f t="shared" si="11"/>
        <v/>
      </c>
      <c r="C735" s="67" t="str">
        <f>IF(ISERROR(VLOOKUP(SMALL('Error Check Table-Hidden'!B:B,ROW(C735)-3),ErrorCheckTable,3,FALSE)), "",(VLOOKUP(SMALL('Error Check Table-Hidden'!B:B,ROW(C735)-3),ErrorCheckTable,3,FALSE)))</f>
        <v/>
      </c>
      <c r="D735" s="59" t="str">
        <f>IF(ISERROR(VLOOKUP(SMALL('Error Check Table-Hidden'!B:B,ROW(C735)-3),ErrorCheckTable,4,FALSE)), "",(VLOOKUP(SMALL('Error Check Table-Hidden'!B:B,ROW(C735)-3),ErrorCheckTable,4,FALSE)))</f>
        <v/>
      </c>
    </row>
    <row r="736" spans="2:4" x14ac:dyDescent="0.2">
      <c r="B736" s="67" t="str">
        <f t="shared" si="11"/>
        <v/>
      </c>
      <c r="C736" s="67" t="str">
        <f>IF(ISERROR(VLOOKUP(SMALL('Error Check Table-Hidden'!B:B,ROW(C736)-3),ErrorCheckTable,3,FALSE)), "",(VLOOKUP(SMALL('Error Check Table-Hidden'!B:B,ROW(C736)-3),ErrorCheckTable,3,FALSE)))</f>
        <v/>
      </c>
      <c r="D736" s="59" t="str">
        <f>IF(ISERROR(VLOOKUP(SMALL('Error Check Table-Hidden'!B:B,ROW(C736)-3),ErrorCheckTable,4,FALSE)), "",(VLOOKUP(SMALL('Error Check Table-Hidden'!B:B,ROW(C736)-3),ErrorCheckTable,4,FALSE)))</f>
        <v/>
      </c>
    </row>
    <row r="737" spans="2:4" x14ac:dyDescent="0.2">
      <c r="B737" s="67" t="str">
        <f t="shared" si="11"/>
        <v/>
      </c>
      <c r="C737" s="67" t="str">
        <f>IF(ISERROR(VLOOKUP(SMALL('Error Check Table-Hidden'!B:B,ROW(C737)-3),ErrorCheckTable,3,FALSE)), "",(VLOOKUP(SMALL('Error Check Table-Hidden'!B:B,ROW(C737)-3),ErrorCheckTable,3,FALSE)))</f>
        <v/>
      </c>
      <c r="D737" s="59" t="str">
        <f>IF(ISERROR(VLOOKUP(SMALL('Error Check Table-Hidden'!B:B,ROW(C737)-3),ErrorCheckTable,4,FALSE)), "",(VLOOKUP(SMALL('Error Check Table-Hidden'!B:B,ROW(C737)-3),ErrorCheckTable,4,FALSE)))</f>
        <v/>
      </c>
    </row>
    <row r="738" spans="2:4" x14ac:dyDescent="0.2">
      <c r="B738" s="67" t="str">
        <f t="shared" si="11"/>
        <v/>
      </c>
      <c r="C738" s="67" t="str">
        <f>IF(ISERROR(VLOOKUP(SMALL('Error Check Table-Hidden'!B:B,ROW(C738)-3),ErrorCheckTable,3,FALSE)), "",(VLOOKUP(SMALL('Error Check Table-Hidden'!B:B,ROW(C738)-3),ErrorCheckTable,3,FALSE)))</f>
        <v/>
      </c>
      <c r="D738" s="59" t="str">
        <f>IF(ISERROR(VLOOKUP(SMALL('Error Check Table-Hidden'!B:B,ROW(C738)-3),ErrorCheckTable,4,FALSE)), "",(VLOOKUP(SMALL('Error Check Table-Hidden'!B:B,ROW(C738)-3),ErrorCheckTable,4,FALSE)))</f>
        <v/>
      </c>
    </row>
    <row r="739" spans="2:4" x14ac:dyDescent="0.2">
      <c r="B739" s="67" t="str">
        <f t="shared" si="11"/>
        <v/>
      </c>
      <c r="C739" s="67" t="str">
        <f>IF(ISERROR(VLOOKUP(SMALL('Error Check Table-Hidden'!B:B,ROW(C739)-3),ErrorCheckTable,3,FALSE)), "",(VLOOKUP(SMALL('Error Check Table-Hidden'!B:B,ROW(C739)-3),ErrorCheckTable,3,FALSE)))</f>
        <v/>
      </c>
      <c r="D739" s="59" t="str">
        <f>IF(ISERROR(VLOOKUP(SMALL('Error Check Table-Hidden'!B:B,ROW(C739)-3),ErrorCheckTable,4,FALSE)), "",(VLOOKUP(SMALL('Error Check Table-Hidden'!B:B,ROW(C739)-3),ErrorCheckTable,4,FALSE)))</f>
        <v/>
      </c>
    </row>
    <row r="740" spans="2:4" x14ac:dyDescent="0.2">
      <c r="B740" s="67" t="str">
        <f t="shared" si="11"/>
        <v/>
      </c>
      <c r="C740" s="67" t="str">
        <f>IF(ISERROR(VLOOKUP(SMALL('Error Check Table-Hidden'!B:B,ROW(C740)-3),ErrorCheckTable,3,FALSE)), "",(VLOOKUP(SMALL('Error Check Table-Hidden'!B:B,ROW(C740)-3),ErrorCheckTable,3,FALSE)))</f>
        <v/>
      </c>
      <c r="D740" s="59" t="str">
        <f>IF(ISERROR(VLOOKUP(SMALL('Error Check Table-Hidden'!B:B,ROW(C740)-3),ErrorCheckTable,4,FALSE)), "",(VLOOKUP(SMALL('Error Check Table-Hidden'!B:B,ROW(C740)-3),ErrorCheckTable,4,FALSE)))</f>
        <v/>
      </c>
    </row>
    <row r="741" spans="2:4" x14ac:dyDescent="0.2">
      <c r="B741" s="67" t="str">
        <f t="shared" si="11"/>
        <v/>
      </c>
      <c r="C741" s="67" t="str">
        <f>IF(ISERROR(VLOOKUP(SMALL('Error Check Table-Hidden'!B:B,ROW(C741)-3),ErrorCheckTable,3,FALSE)), "",(VLOOKUP(SMALL('Error Check Table-Hidden'!B:B,ROW(C741)-3),ErrorCheckTable,3,FALSE)))</f>
        <v/>
      </c>
      <c r="D741" s="59" t="str">
        <f>IF(ISERROR(VLOOKUP(SMALL('Error Check Table-Hidden'!B:B,ROW(C741)-3),ErrorCheckTable,4,FALSE)), "",(VLOOKUP(SMALL('Error Check Table-Hidden'!B:B,ROW(C741)-3),ErrorCheckTable,4,FALSE)))</f>
        <v/>
      </c>
    </row>
    <row r="742" spans="2:4" x14ac:dyDescent="0.2">
      <c r="B742" s="67" t="str">
        <f t="shared" si="11"/>
        <v/>
      </c>
      <c r="C742" s="67" t="str">
        <f>IF(ISERROR(VLOOKUP(SMALL('Error Check Table-Hidden'!B:B,ROW(C742)-3),ErrorCheckTable,3,FALSE)), "",(VLOOKUP(SMALL('Error Check Table-Hidden'!B:B,ROW(C742)-3),ErrorCheckTable,3,FALSE)))</f>
        <v/>
      </c>
      <c r="D742" s="59" t="str">
        <f>IF(ISERROR(VLOOKUP(SMALL('Error Check Table-Hidden'!B:B,ROW(C742)-3),ErrorCheckTable,4,FALSE)), "",(VLOOKUP(SMALL('Error Check Table-Hidden'!B:B,ROW(C742)-3),ErrorCheckTable,4,FALSE)))</f>
        <v/>
      </c>
    </row>
    <row r="743" spans="2:4" x14ac:dyDescent="0.2">
      <c r="B743" s="67" t="str">
        <f t="shared" si="11"/>
        <v/>
      </c>
      <c r="C743" s="67" t="str">
        <f>IF(ISERROR(VLOOKUP(SMALL('Error Check Table-Hidden'!B:B,ROW(C743)-3),ErrorCheckTable,3,FALSE)), "",(VLOOKUP(SMALL('Error Check Table-Hidden'!B:B,ROW(C743)-3),ErrorCheckTable,3,FALSE)))</f>
        <v/>
      </c>
      <c r="D743" s="59" t="str">
        <f>IF(ISERROR(VLOOKUP(SMALL('Error Check Table-Hidden'!B:B,ROW(C743)-3),ErrorCheckTable,4,FALSE)), "",(VLOOKUP(SMALL('Error Check Table-Hidden'!B:B,ROW(C743)-3),ErrorCheckTable,4,FALSE)))</f>
        <v/>
      </c>
    </row>
    <row r="744" spans="2:4" x14ac:dyDescent="0.2">
      <c r="B744" s="67" t="str">
        <f t="shared" si="11"/>
        <v/>
      </c>
      <c r="C744" s="67" t="str">
        <f>IF(ISERROR(VLOOKUP(SMALL('Error Check Table-Hidden'!B:B,ROW(C744)-3),ErrorCheckTable,3,FALSE)), "",(VLOOKUP(SMALL('Error Check Table-Hidden'!B:B,ROW(C744)-3),ErrorCheckTable,3,FALSE)))</f>
        <v/>
      </c>
      <c r="D744" s="59" t="str">
        <f>IF(ISERROR(VLOOKUP(SMALL('Error Check Table-Hidden'!B:B,ROW(C744)-3),ErrorCheckTable,4,FALSE)), "",(VLOOKUP(SMALL('Error Check Table-Hidden'!B:B,ROW(C744)-3),ErrorCheckTable,4,FALSE)))</f>
        <v/>
      </c>
    </row>
    <row r="745" spans="2:4" x14ac:dyDescent="0.2">
      <c r="B745" s="67" t="str">
        <f t="shared" si="11"/>
        <v/>
      </c>
      <c r="C745" s="67" t="str">
        <f>IF(ISERROR(VLOOKUP(SMALL('Error Check Table-Hidden'!B:B,ROW(C745)-3),ErrorCheckTable,3,FALSE)), "",(VLOOKUP(SMALL('Error Check Table-Hidden'!B:B,ROW(C745)-3),ErrorCheckTable,3,FALSE)))</f>
        <v/>
      </c>
      <c r="D745" s="59" t="str">
        <f>IF(ISERROR(VLOOKUP(SMALL('Error Check Table-Hidden'!B:B,ROW(C745)-3),ErrorCheckTable,4,FALSE)), "",(VLOOKUP(SMALL('Error Check Table-Hidden'!B:B,ROW(C745)-3),ErrorCheckTable,4,FALSE)))</f>
        <v/>
      </c>
    </row>
    <row r="746" spans="2:4" x14ac:dyDescent="0.2">
      <c r="B746" s="67" t="str">
        <f t="shared" si="11"/>
        <v/>
      </c>
      <c r="C746" s="67" t="str">
        <f>IF(ISERROR(VLOOKUP(SMALL('Error Check Table-Hidden'!B:B,ROW(C746)-3),ErrorCheckTable,3,FALSE)), "",(VLOOKUP(SMALL('Error Check Table-Hidden'!B:B,ROW(C746)-3),ErrorCheckTable,3,FALSE)))</f>
        <v/>
      </c>
      <c r="D746" s="59" t="str">
        <f>IF(ISERROR(VLOOKUP(SMALL('Error Check Table-Hidden'!B:B,ROW(C746)-3),ErrorCheckTable,4,FALSE)), "",(VLOOKUP(SMALL('Error Check Table-Hidden'!B:B,ROW(C746)-3),ErrorCheckTable,4,FALSE)))</f>
        <v/>
      </c>
    </row>
    <row r="747" spans="2:4" x14ac:dyDescent="0.2">
      <c r="B747" s="67" t="str">
        <f t="shared" si="11"/>
        <v/>
      </c>
      <c r="C747" s="67" t="str">
        <f>IF(ISERROR(VLOOKUP(SMALL('Error Check Table-Hidden'!B:B,ROW(C747)-3),ErrorCheckTable,3,FALSE)), "",(VLOOKUP(SMALL('Error Check Table-Hidden'!B:B,ROW(C747)-3),ErrorCheckTable,3,FALSE)))</f>
        <v/>
      </c>
      <c r="D747" s="59" t="str">
        <f>IF(ISERROR(VLOOKUP(SMALL('Error Check Table-Hidden'!B:B,ROW(C747)-3),ErrorCheckTable,4,FALSE)), "",(VLOOKUP(SMALL('Error Check Table-Hidden'!B:B,ROW(C747)-3),ErrorCheckTable,4,FALSE)))</f>
        <v/>
      </c>
    </row>
    <row r="748" spans="2:4" x14ac:dyDescent="0.2">
      <c r="B748" s="67" t="str">
        <f t="shared" si="11"/>
        <v/>
      </c>
      <c r="C748" s="67" t="str">
        <f>IF(ISERROR(VLOOKUP(SMALL('Error Check Table-Hidden'!B:B,ROW(C748)-3),ErrorCheckTable,3,FALSE)), "",(VLOOKUP(SMALL('Error Check Table-Hidden'!B:B,ROW(C748)-3),ErrorCheckTable,3,FALSE)))</f>
        <v/>
      </c>
      <c r="D748" s="59" t="str">
        <f>IF(ISERROR(VLOOKUP(SMALL('Error Check Table-Hidden'!B:B,ROW(C748)-3),ErrorCheckTable,4,FALSE)), "",(VLOOKUP(SMALL('Error Check Table-Hidden'!B:B,ROW(C748)-3),ErrorCheckTable,4,FALSE)))</f>
        <v/>
      </c>
    </row>
    <row r="749" spans="2:4" x14ac:dyDescent="0.2">
      <c r="B749" s="67" t="str">
        <f t="shared" si="11"/>
        <v/>
      </c>
      <c r="C749" s="67" t="str">
        <f>IF(ISERROR(VLOOKUP(SMALL('Error Check Table-Hidden'!B:B,ROW(C749)-3),ErrorCheckTable,3,FALSE)), "",(VLOOKUP(SMALL('Error Check Table-Hidden'!B:B,ROW(C749)-3),ErrorCheckTable,3,FALSE)))</f>
        <v/>
      </c>
      <c r="D749" s="59" t="str">
        <f>IF(ISERROR(VLOOKUP(SMALL('Error Check Table-Hidden'!B:B,ROW(C749)-3),ErrorCheckTable,4,FALSE)), "",(VLOOKUP(SMALL('Error Check Table-Hidden'!B:B,ROW(C749)-3),ErrorCheckTable,4,FALSE)))</f>
        <v/>
      </c>
    </row>
    <row r="750" spans="2:4" x14ac:dyDescent="0.2">
      <c r="B750" s="67" t="str">
        <f t="shared" ref="B750:B801" si="12">IF(C750&lt;&gt;"",B749+1,"")</f>
        <v/>
      </c>
      <c r="C750" s="67" t="str">
        <f>IF(ISERROR(VLOOKUP(SMALL('Error Check Table-Hidden'!B:B,ROW(C750)-3),ErrorCheckTable,3,FALSE)), "",(VLOOKUP(SMALL('Error Check Table-Hidden'!B:B,ROW(C750)-3),ErrorCheckTable,3,FALSE)))</f>
        <v/>
      </c>
      <c r="D750" s="59" t="str">
        <f>IF(ISERROR(VLOOKUP(SMALL('Error Check Table-Hidden'!B:B,ROW(C750)-3),ErrorCheckTable,4,FALSE)), "",(VLOOKUP(SMALL('Error Check Table-Hidden'!B:B,ROW(C750)-3),ErrorCheckTable,4,FALSE)))</f>
        <v/>
      </c>
    </row>
    <row r="751" spans="2:4" x14ac:dyDescent="0.2">
      <c r="B751" s="67" t="str">
        <f t="shared" si="12"/>
        <v/>
      </c>
      <c r="C751" s="67" t="str">
        <f>IF(ISERROR(VLOOKUP(SMALL('Error Check Table-Hidden'!B:B,ROW(C751)-3),ErrorCheckTable,3,FALSE)), "",(VLOOKUP(SMALL('Error Check Table-Hidden'!B:B,ROW(C751)-3),ErrorCheckTable,3,FALSE)))</f>
        <v/>
      </c>
      <c r="D751" s="59" t="str">
        <f>IF(ISERROR(VLOOKUP(SMALL('Error Check Table-Hidden'!B:B,ROW(C751)-3),ErrorCheckTable,4,FALSE)), "",(VLOOKUP(SMALL('Error Check Table-Hidden'!B:B,ROW(C751)-3),ErrorCheckTable,4,FALSE)))</f>
        <v/>
      </c>
    </row>
    <row r="752" spans="2:4" x14ac:dyDescent="0.2">
      <c r="B752" s="67" t="str">
        <f t="shared" si="12"/>
        <v/>
      </c>
      <c r="C752" s="67" t="str">
        <f>IF(ISERROR(VLOOKUP(SMALL('Error Check Table-Hidden'!B:B,ROW(C752)-3),ErrorCheckTable,3,FALSE)), "",(VLOOKUP(SMALL('Error Check Table-Hidden'!B:B,ROW(C752)-3),ErrorCheckTable,3,FALSE)))</f>
        <v/>
      </c>
      <c r="D752" s="59" t="str">
        <f>IF(ISERROR(VLOOKUP(SMALL('Error Check Table-Hidden'!B:B,ROW(C752)-3),ErrorCheckTable,4,FALSE)), "",(VLOOKUP(SMALL('Error Check Table-Hidden'!B:B,ROW(C752)-3),ErrorCheckTable,4,FALSE)))</f>
        <v/>
      </c>
    </row>
    <row r="753" spans="2:4" x14ac:dyDescent="0.2">
      <c r="B753" s="67" t="str">
        <f t="shared" si="12"/>
        <v/>
      </c>
      <c r="C753" s="67" t="str">
        <f>IF(ISERROR(VLOOKUP(SMALL('Error Check Table-Hidden'!B:B,ROW(C753)-3),ErrorCheckTable,3,FALSE)), "",(VLOOKUP(SMALL('Error Check Table-Hidden'!B:B,ROW(C753)-3),ErrorCheckTable,3,FALSE)))</f>
        <v/>
      </c>
      <c r="D753" s="59" t="str">
        <f>IF(ISERROR(VLOOKUP(SMALL('Error Check Table-Hidden'!B:B,ROW(C753)-3),ErrorCheckTable,4,FALSE)), "",(VLOOKUP(SMALL('Error Check Table-Hidden'!B:B,ROW(C753)-3),ErrorCheckTable,4,FALSE)))</f>
        <v/>
      </c>
    </row>
    <row r="754" spans="2:4" x14ac:dyDescent="0.2">
      <c r="B754" s="67" t="str">
        <f t="shared" si="12"/>
        <v/>
      </c>
      <c r="C754" s="67" t="str">
        <f>IF(ISERROR(VLOOKUP(SMALL('Error Check Table-Hidden'!B:B,ROW(C754)-3),ErrorCheckTable,3,FALSE)), "",(VLOOKUP(SMALL('Error Check Table-Hidden'!B:B,ROW(C754)-3),ErrorCheckTable,3,FALSE)))</f>
        <v/>
      </c>
      <c r="D754" s="59" t="str">
        <f>IF(ISERROR(VLOOKUP(SMALL('Error Check Table-Hidden'!B:B,ROW(C754)-3),ErrorCheckTable,4,FALSE)), "",(VLOOKUP(SMALL('Error Check Table-Hidden'!B:B,ROW(C754)-3),ErrorCheckTable,4,FALSE)))</f>
        <v/>
      </c>
    </row>
    <row r="755" spans="2:4" x14ac:dyDescent="0.2">
      <c r="B755" s="67" t="str">
        <f t="shared" si="12"/>
        <v/>
      </c>
      <c r="C755" s="67" t="str">
        <f>IF(ISERROR(VLOOKUP(SMALL('Error Check Table-Hidden'!B:B,ROW(C755)-3),ErrorCheckTable,3,FALSE)), "",(VLOOKUP(SMALL('Error Check Table-Hidden'!B:B,ROW(C755)-3),ErrorCheckTable,3,FALSE)))</f>
        <v/>
      </c>
      <c r="D755" s="59" t="str">
        <f>IF(ISERROR(VLOOKUP(SMALL('Error Check Table-Hidden'!B:B,ROW(C755)-3),ErrorCheckTable,4,FALSE)), "",(VLOOKUP(SMALL('Error Check Table-Hidden'!B:B,ROW(C755)-3),ErrorCheckTable,4,FALSE)))</f>
        <v/>
      </c>
    </row>
    <row r="756" spans="2:4" x14ac:dyDescent="0.2">
      <c r="B756" s="67" t="str">
        <f t="shared" si="12"/>
        <v/>
      </c>
      <c r="C756" s="67" t="str">
        <f>IF(ISERROR(VLOOKUP(SMALL('Error Check Table-Hidden'!B:B,ROW(C756)-3),ErrorCheckTable,3,FALSE)), "",(VLOOKUP(SMALL('Error Check Table-Hidden'!B:B,ROW(C756)-3),ErrorCheckTable,3,FALSE)))</f>
        <v/>
      </c>
      <c r="D756" s="59" t="str">
        <f>IF(ISERROR(VLOOKUP(SMALL('Error Check Table-Hidden'!B:B,ROW(C756)-3),ErrorCheckTable,4,FALSE)), "",(VLOOKUP(SMALL('Error Check Table-Hidden'!B:B,ROW(C756)-3),ErrorCheckTable,4,FALSE)))</f>
        <v/>
      </c>
    </row>
    <row r="757" spans="2:4" x14ac:dyDescent="0.2">
      <c r="B757" s="67" t="str">
        <f t="shared" si="12"/>
        <v/>
      </c>
      <c r="C757" s="67" t="str">
        <f>IF(ISERROR(VLOOKUP(SMALL('Error Check Table-Hidden'!B:B,ROW(C757)-3),ErrorCheckTable,3,FALSE)), "",(VLOOKUP(SMALL('Error Check Table-Hidden'!B:B,ROW(C757)-3),ErrorCheckTable,3,FALSE)))</f>
        <v/>
      </c>
      <c r="D757" s="59" t="str">
        <f>IF(ISERROR(VLOOKUP(SMALL('Error Check Table-Hidden'!B:B,ROW(C757)-3),ErrorCheckTable,4,FALSE)), "",(VLOOKUP(SMALL('Error Check Table-Hidden'!B:B,ROW(C757)-3),ErrorCheckTable,4,FALSE)))</f>
        <v/>
      </c>
    </row>
    <row r="758" spans="2:4" x14ac:dyDescent="0.2">
      <c r="B758" s="67" t="str">
        <f t="shared" si="12"/>
        <v/>
      </c>
      <c r="C758" s="67" t="str">
        <f>IF(ISERROR(VLOOKUP(SMALL('Error Check Table-Hidden'!B:B,ROW(C758)-3),ErrorCheckTable,3,FALSE)), "",(VLOOKUP(SMALL('Error Check Table-Hidden'!B:B,ROW(C758)-3),ErrorCheckTable,3,FALSE)))</f>
        <v/>
      </c>
      <c r="D758" s="59" t="str">
        <f>IF(ISERROR(VLOOKUP(SMALL('Error Check Table-Hidden'!B:B,ROW(C758)-3),ErrorCheckTable,4,FALSE)), "",(VLOOKUP(SMALL('Error Check Table-Hidden'!B:B,ROW(C758)-3),ErrorCheckTable,4,FALSE)))</f>
        <v/>
      </c>
    </row>
    <row r="759" spans="2:4" x14ac:dyDescent="0.2">
      <c r="B759" s="67" t="str">
        <f t="shared" si="12"/>
        <v/>
      </c>
      <c r="C759" s="67" t="str">
        <f>IF(ISERROR(VLOOKUP(SMALL('Error Check Table-Hidden'!B:B,ROW(C759)-3),ErrorCheckTable,3,FALSE)), "",(VLOOKUP(SMALL('Error Check Table-Hidden'!B:B,ROW(C759)-3),ErrorCheckTable,3,FALSE)))</f>
        <v/>
      </c>
      <c r="D759" s="59" t="str">
        <f>IF(ISERROR(VLOOKUP(SMALL('Error Check Table-Hidden'!B:B,ROW(C759)-3),ErrorCheckTable,4,FALSE)), "",(VLOOKUP(SMALL('Error Check Table-Hidden'!B:B,ROW(C759)-3),ErrorCheckTable,4,FALSE)))</f>
        <v/>
      </c>
    </row>
    <row r="760" spans="2:4" x14ac:dyDescent="0.2">
      <c r="B760" s="67" t="str">
        <f t="shared" si="12"/>
        <v/>
      </c>
      <c r="C760" s="67" t="str">
        <f>IF(ISERROR(VLOOKUP(SMALL('Error Check Table-Hidden'!B:B,ROW(C760)-3),ErrorCheckTable,3,FALSE)), "",(VLOOKUP(SMALL('Error Check Table-Hidden'!B:B,ROW(C760)-3),ErrorCheckTable,3,FALSE)))</f>
        <v/>
      </c>
      <c r="D760" s="59" t="str">
        <f>IF(ISERROR(VLOOKUP(SMALL('Error Check Table-Hidden'!B:B,ROW(C760)-3),ErrorCheckTable,4,FALSE)), "",(VLOOKUP(SMALL('Error Check Table-Hidden'!B:B,ROW(C760)-3),ErrorCheckTable,4,FALSE)))</f>
        <v/>
      </c>
    </row>
    <row r="761" spans="2:4" x14ac:dyDescent="0.2">
      <c r="B761" s="67" t="str">
        <f t="shared" si="12"/>
        <v/>
      </c>
      <c r="C761" s="67" t="str">
        <f>IF(ISERROR(VLOOKUP(SMALL('Error Check Table-Hidden'!B:B,ROW(C761)-3),ErrorCheckTable,3,FALSE)), "",(VLOOKUP(SMALL('Error Check Table-Hidden'!B:B,ROW(C761)-3),ErrorCheckTable,3,FALSE)))</f>
        <v/>
      </c>
      <c r="D761" s="59" t="str">
        <f>IF(ISERROR(VLOOKUP(SMALL('Error Check Table-Hidden'!B:B,ROW(C761)-3),ErrorCheckTable,4,FALSE)), "",(VLOOKUP(SMALL('Error Check Table-Hidden'!B:B,ROW(C761)-3),ErrorCheckTable,4,FALSE)))</f>
        <v/>
      </c>
    </row>
    <row r="762" spans="2:4" x14ac:dyDescent="0.2">
      <c r="B762" s="67" t="str">
        <f t="shared" si="12"/>
        <v/>
      </c>
      <c r="C762" s="67" t="str">
        <f>IF(ISERROR(VLOOKUP(SMALL('Error Check Table-Hidden'!B:B,ROW(C762)-3),ErrorCheckTable,3,FALSE)), "",(VLOOKUP(SMALL('Error Check Table-Hidden'!B:B,ROW(C762)-3),ErrorCheckTable,3,FALSE)))</f>
        <v/>
      </c>
      <c r="D762" s="59" t="str">
        <f>IF(ISERROR(VLOOKUP(SMALL('Error Check Table-Hidden'!B:B,ROW(C762)-3),ErrorCheckTable,4,FALSE)), "",(VLOOKUP(SMALL('Error Check Table-Hidden'!B:B,ROW(C762)-3),ErrorCheckTable,4,FALSE)))</f>
        <v/>
      </c>
    </row>
    <row r="763" spans="2:4" x14ac:dyDescent="0.2">
      <c r="B763" s="67" t="str">
        <f t="shared" si="12"/>
        <v/>
      </c>
      <c r="C763" s="67" t="str">
        <f>IF(ISERROR(VLOOKUP(SMALL('Error Check Table-Hidden'!B:B,ROW(C763)-3),ErrorCheckTable,3,FALSE)), "",(VLOOKUP(SMALL('Error Check Table-Hidden'!B:B,ROW(C763)-3),ErrorCheckTable,3,FALSE)))</f>
        <v/>
      </c>
      <c r="D763" s="59" t="str">
        <f>IF(ISERROR(VLOOKUP(SMALL('Error Check Table-Hidden'!B:B,ROW(C763)-3),ErrorCheckTable,4,FALSE)), "",(VLOOKUP(SMALL('Error Check Table-Hidden'!B:B,ROW(C763)-3),ErrorCheckTable,4,FALSE)))</f>
        <v/>
      </c>
    </row>
    <row r="764" spans="2:4" x14ac:dyDescent="0.2">
      <c r="B764" s="67" t="str">
        <f t="shared" si="12"/>
        <v/>
      </c>
      <c r="C764" s="67" t="str">
        <f>IF(ISERROR(VLOOKUP(SMALL('Error Check Table-Hidden'!B:B,ROW(C764)-3),ErrorCheckTable,3,FALSE)), "",(VLOOKUP(SMALL('Error Check Table-Hidden'!B:B,ROW(C764)-3),ErrorCheckTable,3,FALSE)))</f>
        <v/>
      </c>
      <c r="D764" s="59" t="str">
        <f>IF(ISERROR(VLOOKUP(SMALL('Error Check Table-Hidden'!B:B,ROW(C764)-3),ErrorCheckTable,4,FALSE)), "",(VLOOKUP(SMALL('Error Check Table-Hidden'!B:B,ROW(C764)-3),ErrorCheckTable,4,FALSE)))</f>
        <v/>
      </c>
    </row>
    <row r="765" spans="2:4" x14ac:dyDescent="0.2">
      <c r="B765" s="67" t="str">
        <f t="shared" si="12"/>
        <v/>
      </c>
      <c r="C765" s="67" t="str">
        <f>IF(ISERROR(VLOOKUP(SMALL('Error Check Table-Hidden'!B:B,ROW(C765)-3),ErrorCheckTable,3,FALSE)), "",(VLOOKUP(SMALL('Error Check Table-Hidden'!B:B,ROW(C765)-3),ErrorCheckTable,3,FALSE)))</f>
        <v/>
      </c>
      <c r="D765" s="59" t="str">
        <f>IF(ISERROR(VLOOKUP(SMALL('Error Check Table-Hidden'!B:B,ROW(C765)-3),ErrorCheckTable,4,FALSE)), "",(VLOOKUP(SMALL('Error Check Table-Hidden'!B:B,ROW(C765)-3),ErrorCheckTable,4,FALSE)))</f>
        <v/>
      </c>
    </row>
    <row r="766" spans="2:4" x14ac:dyDescent="0.2">
      <c r="B766" s="67" t="str">
        <f t="shared" si="12"/>
        <v/>
      </c>
      <c r="C766" s="67" t="str">
        <f>IF(ISERROR(VLOOKUP(SMALL('Error Check Table-Hidden'!B:B,ROW(C766)-3),ErrorCheckTable,3,FALSE)), "",(VLOOKUP(SMALL('Error Check Table-Hidden'!B:B,ROW(C766)-3),ErrorCheckTable,3,FALSE)))</f>
        <v/>
      </c>
      <c r="D766" s="59" t="str">
        <f>IF(ISERROR(VLOOKUP(SMALL('Error Check Table-Hidden'!B:B,ROW(C766)-3),ErrorCheckTable,4,FALSE)), "",(VLOOKUP(SMALL('Error Check Table-Hidden'!B:B,ROW(C766)-3),ErrorCheckTable,4,FALSE)))</f>
        <v/>
      </c>
    </row>
    <row r="767" spans="2:4" x14ac:dyDescent="0.2">
      <c r="B767" s="67" t="str">
        <f t="shared" si="12"/>
        <v/>
      </c>
      <c r="C767" s="67" t="str">
        <f>IF(ISERROR(VLOOKUP(SMALL('Error Check Table-Hidden'!B:B,ROW(C767)-3),ErrorCheckTable,3,FALSE)), "",(VLOOKUP(SMALL('Error Check Table-Hidden'!B:B,ROW(C767)-3),ErrorCheckTable,3,FALSE)))</f>
        <v/>
      </c>
      <c r="D767" s="59" t="str">
        <f>IF(ISERROR(VLOOKUP(SMALL('Error Check Table-Hidden'!B:B,ROW(C767)-3),ErrorCheckTable,4,FALSE)), "",(VLOOKUP(SMALL('Error Check Table-Hidden'!B:B,ROW(C767)-3),ErrorCheckTable,4,FALSE)))</f>
        <v/>
      </c>
    </row>
    <row r="768" spans="2:4" x14ac:dyDescent="0.2">
      <c r="B768" s="67" t="str">
        <f t="shared" si="12"/>
        <v/>
      </c>
      <c r="C768" s="67" t="str">
        <f>IF(ISERROR(VLOOKUP(SMALL('Error Check Table-Hidden'!B:B,ROW(C768)-3),ErrorCheckTable,3,FALSE)), "",(VLOOKUP(SMALL('Error Check Table-Hidden'!B:B,ROW(C768)-3),ErrorCheckTable,3,FALSE)))</f>
        <v/>
      </c>
      <c r="D768" s="59" t="str">
        <f>IF(ISERROR(VLOOKUP(SMALL('Error Check Table-Hidden'!B:B,ROW(C768)-3),ErrorCheckTable,4,FALSE)), "",(VLOOKUP(SMALL('Error Check Table-Hidden'!B:B,ROW(C768)-3),ErrorCheckTable,4,FALSE)))</f>
        <v/>
      </c>
    </row>
    <row r="769" spans="2:4" x14ac:dyDescent="0.2">
      <c r="B769" s="67" t="str">
        <f t="shared" si="12"/>
        <v/>
      </c>
      <c r="C769" s="67" t="str">
        <f>IF(ISERROR(VLOOKUP(SMALL('Error Check Table-Hidden'!B:B,ROW(C769)-3),ErrorCheckTable,3,FALSE)), "",(VLOOKUP(SMALL('Error Check Table-Hidden'!B:B,ROW(C769)-3),ErrorCheckTable,3,FALSE)))</f>
        <v/>
      </c>
      <c r="D769" s="59" t="str">
        <f>IF(ISERROR(VLOOKUP(SMALL('Error Check Table-Hidden'!B:B,ROW(C769)-3),ErrorCheckTable,4,FALSE)), "",(VLOOKUP(SMALL('Error Check Table-Hidden'!B:B,ROW(C769)-3),ErrorCheckTable,4,FALSE)))</f>
        <v/>
      </c>
    </row>
    <row r="770" spans="2:4" x14ac:dyDescent="0.2">
      <c r="B770" s="67" t="str">
        <f t="shared" si="12"/>
        <v/>
      </c>
      <c r="C770" s="67" t="str">
        <f>IF(ISERROR(VLOOKUP(SMALL('Error Check Table-Hidden'!B:B,ROW(C770)-3),ErrorCheckTable,3,FALSE)), "",(VLOOKUP(SMALL('Error Check Table-Hidden'!B:B,ROW(C770)-3),ErrorCheckTable,3,FALSE)))</f>
        <v/>
      </c>
      <c r="D770" s="59" t="str">
        <f>IF(ISERROR(VLOOKUP(SMALL('Error Check Table-Hidden'!B:B,ROW(C770)-3),ErrorCheckTable,4,FALSE)), "",(VLOOKUP(SMALL('Error Check Table-Hidden'!B:B,ROW(C770)-3),ErrorCheckTable,4,FALSE)))</f>
        <v/>
      </c>
    </row>
    <row r="771" spans="2:4" x14ac:dyDescent="0.2">
      <c r="B771" s="67" t="str">
        <f t="shared" si="12"/>
        <v/>
      </c>
      <c r="C771" s="67" t="str">
        <f>IF(ISERROR(VLOOKUP(SMALL('Error Check Table-Hidden'!B:B,ROW(C771)-3),ErrorCheckTable,3,FALSE)), "",(VLOOKUP(SMALL('Error Check Table-Hidden'!B:B,ROW(C771)-3),ErrorCheckTable,3,FALSE)))</f>
        <v/>
      </c>
      <c r="D771" s="59" t="str">
        <f>IF(ISERROR(VLOOKUP(SMALL('Error Check Table-Hidden'!B:B,ROW(C771)-3),ErrorCheckTable,4,FALSE)), "",(VLOOKUP(SMALL('Error Check Table-Hidden'!B:B,ROW(C771)-3),ErrorCheckTable,4,FALSE)))</f>
        <v/>
      </c>
    </row>
    <row r="772" spans="2:4" x14ac:dyDescent="0.2">
      <c r="B772" s="67" t="str">
        <f t="shared" si="12"/>
        <v/>
      </c>
      <c r="C772" s="67" t="str">
        <f>IF(ISERROR(VLOOKUP(SMALL('Error Check Table-Hidden'!B:B,ROW(C772)-3),ErrorCheckTable,3,FALSE)), "",(VLOOKUP(SMALL('Error Check Table-Hidden'!B:B,ROW(C772)-3),ErrorCheckTable,3,FALSE)))</f>
        <v/>
      </c>
      <c r="D772" s="59" t="str">
        <f>IF(ISERROR(VLOOKUP(SMALL('Error Check Table-Hidden'!B:B,ROW(C772)-3),ErrorCheckTable,4,FALSE)), "",(VLOOKUP(SMALL('Error Check Table-Hidden'!B:B,ROW(C772)-3),ErrorCheckTable,4,FALSE)))</f>
        <v/>
      </c>
    </row>
    <row r="773" spans="2:4" x14ac:dyDescent="0.2">
      <c r="B773" s="67" t="str">
        <f t="shared" si="12"/>
        <v/>
      </c>
      <c r="C773" s="67" t="str">
        <f>IF(ISERROR(VLOOKUP(SMALL('Error Check Table-Hidden'!B:B,ROW(C773)-3),ErrorCheckTable,3,FALSE)), "",(VLOOKUP(SMALL('Error Check Table-Hidden'!B:B,ROW(C773)-3),ErrorCheckTable,3,FALSE)))</f>
        <v/>
      </c>
      <c r="D773" s="59" t="str">
        <f>IF(ISERROR(VLOOKUP(SMALL('Error Check Table-Hidden'!B:B,ROW(C773)-3),ErrorCheckTable,4,FALSE)), "",(VLOOKUP(SMALL('Error Check Table-Hidden'!B:B,ROW(C773)-3),ErrorCheckTable,4,FALSE)))</f>
        <v/>
      </c>
    </row>
    <row r="774" spans="2:4" x14ac:dyDescent="0.2">
      <c r="B774" s="67" t="str">
        <f t="shared" si="12"/>
        <v/>
      </c>
      <c r="C774" s="67" t="str">
        <f>IF(ISERROR(VLOOKUP(SMALL('Error Check Table-Hidden'!B:B,ROW(C774)-3),ErrorCheckTable,3,FALSE)), "",(VLOOKUP(SMALL('Error Check Table-Hidden'!B:B,ROW(C774)-3),ErrorCheckTable,3,FALSE)))</f>
        <v/>
      </c>
      <c r="D774" s="59" t="str">
        <f>IF(ISERROR(VLOOKUP(SMALL('Error Check Table-Hidden'!B:B,ROW(C774)-3),ErrorCheckTable,4,FALSE)), "",(VLOOKUP(SMALL('Error Check Table-Hidden'!B:B,ROW(C774)-3),ErrorCheckTable,4,FALSE)))</f>
        <v/>
      </c>
    </row>
    <row r="775" spans="2:4" x14ac:dyDescent="0.2">
      <c r="B775" s="67" t="str">
        <f t="shared" si="12"/>
        <v/>
      </c>
      <c r="C775" s="67" t="str">
        <f>IF(ISERROR(VLOOKUP(SMALL('Error Check Table-Hidden'!B:B,ROW(C775)-3),ErrorCheckTable,3,FALSE)), "",(VLOOKUP(SMALL('Error Check Table-Hidden'!B:B,ROW(C775)-3),ErrorCheckTable,3,FALSE)))</f>
        <v/>
      </c>
      <c r="D775" s="59" t="str">
        <f>IF(ISERROR(VLOOKUP(SMALL('Error Check Table-Hidden'!B:B,ROW(C775)-3),ErrorCheckTable,4,FALSE)), "",(VLOOKUP(SMALL('Error Check Table-Hidden'!B:B,ROW(C775)-3),ErrorCheckTable,4,FALSE)))</f>
        <v/>
      </c>
    </row>
    <row r="776" spans="2:4" x14ac:dyDescent="0.2">
      <c r="B776" s="67" t="str">
        <f t="shared" si="12"/>
        <v/>
      </c>
      <c r="C776" s="67" t="str">
        <f>IF(ISERROR(VLOOKUP(SMALL('Error Check Table-Hidden'!B:B,ROW(C776)-3),ErrorCheckTable,3,FALSE)), "",(VLOOKUP(SMALL('Error Check Table-Hidden'!B:B,ROW(C776)-3),ErrorCheckTable,3,FALSE)))</f>
        <v/>
      </c>
      <c r="D776" s="59" t="str">
        <f>IF(ISERROR(VLOOKUP(SMALL('Error Check Table-Hidden'!B:B,ROW(C776)-3),ErrorCheckTable,4,FALSE)), "",(VLOOKUP(SMALL('Error Check Table-Hidden'!B:B,ROW(C776)-3),ErrorCheckTable,4,FALSE)))</f>
        <v/>
      </c>
    </row>
    <row r="777" spans="2:4" x14ac:dyDescent="0.2">
      <c r="B777" s="67" t="str">
        <f t="shared" si="12"/>
        <v/>
      </c>
      <c r="C777" s="67" t="str">
        <f>IF(ISERROR(VLOOKUP(SMALL('Error Check Table-Hidden'!B:B,ROW(C777)-3),ErrorCheckTable,3,FALSE)), "",(VLOOKUP(SMALL('Error Check Table-Hidden'!B:B,ROW(C777)-3),ErrorCheckTable,3,FALSE)))</f>
        <v/>
      </c>
      <c r="D777" s="59" t="str">
        <f>IF(ISERROR(VLOOKUP(SMALL('Error Check Table-Hidden'!B:B,ROW(C777)-3),ErrorCheckTable,4,FALSE)), "",(VLOOKUP(SMALL('Error Check Table-Hidden'!B:B,ROW(C777)-3),ErrorCheckTable,4,FALSE)))</f>
        <v/>
      </c>
    </row>
    <row r="778" spans="2:4" x14ac:dyDescent="0.2">
      <c r="B778" s="67" t="str">
        <f t="shared" si="12"/>
        <v/>
      </c>
      <c r="C778" s="67" t="str">
        <f>IF(ISERROR(VLOOKUP(SMALL('Error Check Table-Hidden'!B:B,ROW(C778)-3),ErrorCheckTable,3,FALSE)), "",(VLOOKUP(SMALL('Error Check Table-Hidden'!B:B,ROW(C778)-3),ErrorCheckTable,3,FALSE)))</f>
        <v/>
      </c>
      <c r="D778" s="59" t="str">
        <f>IF(ISERROR(VLOOKUP(SMALL('Error Check Table-Hidden'!B:B,ROW(C778)-3),ErrorCheckTable,4,FALSE)), "",(VLOOKUP(SMALL('Error Check Table-Hidden'!B:B,ROW(C778)-3),ErrorCheckTable,4,FALSE)))</f>
        <v/>
      </c>
    </row>
    <row r="779" spans="2:4" x14ac:dyDescent="0.2">
      <c r="B779" s="67" t="str">
        <f t="shared" si="12"/>
        <v/>
      </c>
      <c r="C779" s="67" t="str">
        <f>IF(ISERROR(VLOOKUP(SMALL('Error Check Table-Hidden'!B:B,ROW(C779)-3),ErrorCheckTable,3,FALSE)), "",(VLOOKUP(SMALL('Error Check Table-Hidden'!B:B,ROW(C779)-3),ErrorCheckTable,3,FALSE)))</f>
        <v/>
      </c>
      <c r="D779" s="59" t="str">
        <f>IF(ISERROR(VLOOKUP(SMALL('Error Check Table-Hidden'!B:B,ROW(C779)-3),ErrorCheckTable,4,FALSE)), "",(VLOOKUP(SMALL('Error Check Table-Hidden'!B:B,ROW(C779)-3),ErrorCheckTable,4,FALSE)))</f>
        <v/>
      </c>
    </row>
    <row r="780" spans="2:4" x14ac:dyDescent="0.2">
      <c r="B780" s="67" t="str">
        <f t="shared" si="12"/>
        <v/>
      </c>
      <c r="C780" s="67" t="str">
        <f>IF(ISERROR(VLOOKUP(SMALL('Error Check Table-Hidden'!B:B,ROW(C780)-3),ErrorCheckTable,3,FALSE)), "",(VLOOKUP(SMALL('Error Check Table-Hidden'!B:B,ROW(C780)-3),ErrorCheckTable,3,FALSE)))</f>
        <v/>
      </c>
      <c r="D780" s="59" t="str">
        <f>IF(ISERROR(VLOOKUP(SMALL('Error Check Table-Hidden'!B:B,ROW(C780)-3),ErrorCheckTable,4,FALSE)), "",(VLOOKUP(SMALL('Error Check Table-Hidden'!B:B,ROW(C780)-3),ErrorCheckTable,4,FALSE)))</f>
        <v/>
      </c>
    </row>
    <row r="781" spans="2:4" x14ac:dyDescent="0.2">
      <c r="B781" s="67" t="str">
        <f t="shared" si="12"/>
        <v/>
      </c>
      <c r="C781" s="67" t="str">
        <f>IF(ISERROR(VLOOKUP(SMALL('Error Check Table-Hidden'!B:B,ROW(C781)-3),ErrorCheckTable,3,FALSE)), "",(VLOOKUP(SMALL('Error Check Table-Hidden'!B:B,ROW(C781)-3),ErrorCheckTable,3,FALSE)))</f>
        <v/>
      </c>
      <c r="D781" s="59" t="str">
        <f>IF(ISERROR(VLOOKUP(SMALL('Error Check Table-Hidden'!B:B,ROW(C781)-3),ErrorCheckTable,4,FALSE)), "",(VLOOKUP(SMALL('Error Check Table-Hidden'!B:B,ROW(C781)-3),ErrorCheckTable,4,FALSE)))</f>
        <v/>
      </c>
    </row>
    <row r="782" spans="2:4" x14ac:dyDescent="0.2">
      <c r="B782" s="67" t="str">
        <f t="shared" si="12"/>
        <v/>
      </c>
      <c r="C782" s="67" t="str">
        <f>IF(ISERROR(VLOOKUP(SMALL('Error Check Table-Hidden'!B:B,ROW(C782)-3),ErrorCheckTable,3,FALSE)), "",(VLOOKUP(SMALL('Error Check Table-Hidden'!B:B,ROW(C782)-3),ErrorCheckTable,3,FALSE)))</f>
        <v/>
      </c>
      <c r="D782" s="59" t="str">
        <f>IF(ISERROR(VLOOKUP(SMALL('Error Check Table-Hidden'!B:B,ROW(C782)-3),ErrorCheckTable,4,FALSE)), "",(VLOOKUP(SMALL('Error Check Table-Hidden'!B:B,ROW(C782)-3),ErrorCheckTable,4,FALSE)))</f>
        <v/>
      </c>
    </row>
    <row r="783" spans="2:4" x14ac:dyDescent="0.2">
      <c r="B783" s="67" t="str">
        <f t="shared" si="12"/>
        <v/>
      </c>
      <c r="C783" s="67" t="str">
        <f>IF(ISERROR(VLOOKUP(SMALL('Error Check Table-Hidden'!B:B,ROW(C783)-3),ErrorCheckTable,3,FALSE)), "",(VLOOKUP(SMALL('Error Check Table-Hidden'!B:B,ROW(C783)-3),ErrorCheckTable,3,FALSE)))</f>
        <v/>
      </c>
      <c r="D783" s="59" t="str">
        <f>IF(ISERROR(VLOOKUP(SMALL('Error Check Table-Hidden'!B:B,ROW(C783)-3),ErrorCheckTable,4,FALSE)), "",(VLOOKUP(SMALL('Error Check Table-Hidden'!B:B,ROW(C783)-3),ErrorCheckTable,4,FALSE)))</f>
        <v/>
      </c>
    </row>
    <row r="784" spans="2:4" x14ac:dyDescent="0.2">
      <c r="B784" s="67" t="str">
        <f t="shared" si="12"/>
        <v/>
      </c>
      <c r="C784" s="67" t="str">
        <f>IF(ISERROR(VLOOKUP(SMALL('Error Check Table-Hidden'!B:B,ROW(C784)-3),ErrorCheckTable,3,FALSE)), "",(VLOOKUP(SMALL('Error Check Table-Hidden'!B:B,ROW(C784)-3),ErrorCheckTable,3,FALSE)))</f>
        <v/>
      </c>
      <c r="D784" s="59" t="str">
        <f>IF(ISERROR(VLOOKUP(SMALL('Error Check Table-Hidden'!B:B,ROW(C784)-3),ErrorCheckTable,4,FALSE)), "",(VLOOKUP(SMALL('Error Check Table-Hidden'!B:B,ROW(C784)-3),ErrorCheckTable,4,FALSE)))</f>
        <v/>
      </c>
    </row>
    <row r="785" spans="2:4" x14ac:dyDescent="0.2">
      <c r="B785" s="67" t="str">
        <f t="shared" si="12"/>
        <v/>
      </c>
      <c r="C785" s="67" t="str">
        <f>IF(ISERROR(VLOOKUP(SMALL('Error Check Table-Hidden'!B:B,ROW(C785)-3),ErrorCheckTable,3,FALSE)), "",(VLOOKUP(SMALL('Error Check Table-Hidden'!B:B,ROW(C785)-3),ErrorCheckTable,3,FALSE)))</f>
        <v/>
      </c>
      <c r="D785" s="59" t="str">
        <f>IF(ISERROR(VLOOKUP(SMALL('Error Check Table-Hidden'!B:B,ROW(C785)-3),ErrorCheckTable,4,FALSE)), "",(VLOOKUP(SMALL('Error Check Table-Hidden'!B:B,ROW(C785)-3),ErrorCheckTable,4,FALSE)))</f>
        <v/>
      </c>
    </row>
    <row r="786" spans="2:4" x14ac:dyDescent="0.2">
      <c r="B786" s="67" t="str">
        <f t="shared" si="12"/>
        <v/>
      </c>
      <c r="C786" s="67" t="str">
        <f>IF(ISERROR(VLOOKUP(SMALL('Error Check Table-Hidden'!B:B,ROW(C786)-3),ErrorCheckTable,3,FALSE)), "",(VLOOKUP(SMALL('Error Check Table-Hidden'!B:B,ROW(C786)-3),ErrorCheckTable,3,FALSE)))</f>
        <v/>
      </c>
      <c r="D786" s="59" t="str">
        <f>IF(ISERROR(VLOOKUP(SMALL('Error Check Table-Hidden'!B:B,ROW(C786)-3),ErrorCheckTable,4,FALSE)), "",(VLOOKUP(SMALL('Error Check Table-Hidden'!B:B,ROW(C786)-3),ErrorCheckTable,4,FALSE)))</f>
        <v/>
      </c>
    </row>
    <row r="787" spans="2:4" x14ac:dyDescent="0.2">
      <c r="B787" s="67" t="str">
        <f t="shared" si="12"/>
        <v/>
      </c>
      <c r="C787" s="67" t="str">
        <f>IF(ISERROR(VLOOKUP(SMALL('Error Check Table-Hidden'!B:B,ROW(C787)-3),ErrorCheckTable,3,FALSE)), "",(VLOOKUP(SMALL('Error Check Table-Hidden'!B:B,ROW(C787)-3),ErrorCheckTable,3,FALSE)))</f>
        <v/>
      </c>
      <c r="D787" s="59" t="str">
        <f>IF(ISERROR(VLOOKUP(SMALL('Error Check Table-Hidden'!B:B,ROW(C787)-3),ErrorCheckTable,4,FALSE)), "",(VLOOKUP(SMALL('Error Check Table-Hidden'!B:B,ROW(C787)-3),ErrorCheckTable,4,FALSE)))</f>
        <v/>
      </c>
    </row>
    <row r="788" spans="2:4" x14ac:dyDescent="0.2">
      <c r="B788" s="67" t="str">
        <f t="shared" si="12"/>
        <v/>
      </c>
      <c r="C788" s="67" t="str">
        <f>IF(ISERROR(VLOOKUP(SMALL('Error Check Table-Hidden'!B:B,ROW(C788)-3),ErrorCheckTable,3,FALSE)), "",(VLOOKUP(SMALL('Error Check Table-Hidden'!B:B,ROW(C788)-3),ErrorCheckTable,3,FALSE)))</f>
        <v/>
      </c>
      <c r="D788" s="59" t="str">
        <f>IF(ISERROR(VLOOKUP(SMALL('Error Check Table-Hidden'!B:B,ROW(C788)-3),ErrorCheckTable,4,FALSE)), "",(VLOOKUP(SMALL('Error Check Table-Hidden'!B:B,ROW(C788)-3),ErrorCheckTable,4,FALSE)))</f>
        <v/>
      </c>
    </row>
    <row r="789" spans="2:4" x14ac:dyDescent="0.2">
      <c r="B789" s="67" t="str">
        <f t="shared" si="12"/>
        <v/>
      </c>
      <c r="C789" s="67" t="str">
        <f>IF(ISERROR(VLOOKUP(SMALL('Error Check Table-Hidden'!B:B,ROW(C789)-3),ErrorCheckTable,3,FALSE)), "",(VLOOKUP(SMALL('Error Check Table-Hidden'!B:B,ROW(C789)-3),ErrorCheckTable,3,FALSE)))</f>
        <v/>
      </c>
      <c r="D789" s="59" t="str">
        <f>IF(ISERROR(VLOOKUP(SMALL('Error Check Table-Hidden'!B:B,ROW(C789)-3),ErrorCheckTable,4,FALSE)), "",(VLOOKUP(SMALL('Error Check Table-Hidden'!B:B,ROW(C789)-3),ErrorCheckTable,4,FALSE)))</f>
        <v/>
      </c>
    </row>
    <row r="790" spans="2:4" x14ac:dyDescent="0.2">
      <c r="B790" s="67" t="str">
        <f t="shared" si="12"/>
        <v/>
      </c>
      <c r="C790" s="67" t="str">
        <f>IF(ISERROR(VLOOKUP(SMALL('Error Check Table-Hidden'!B:B,ROW(C790)-3),ErrorCheckTable,3,FALSE)), "",(VLOOKUP(SMALL('Error Check Table-Hidden'!B:B,ROW(C790)-3),ErrorCheckTable,3,FALSE)))</f>
        <v/>
      </c>
      <c r="D790" s="59" t="str">
        <f>IF(ISERROR(VLOOKUP(SMALL('Error Check Table-Hidden'!B:B,ROW(C790)-3),ErrorCheckTable,4,FALSE)), "",(VLOOKUP(SMALL('Error Check Table-Hidden'!B:B,ROW(C790)-3),ErrorCheckTable,4,FALSE)))</f>
        <v/>
      </c>
    </row>
    <row r="791" spans="2:4" x14ac:dyDescent="0.2">
      <c r="B791" s="67" t="str">
        <f t="shared" si="12"/>
        <v/>
      </c>
      <c r="C791" s="67" t="str">
        <f>IF(ISERROR(VLOOKUP(SMALL('Error Check Table-Hidden'!B:B,ROW(C791)-3),ErrorCheckTable,3,FALSE)), "",(VLOOKUP(SMALL('Error Check Table-Hidden'!B:B,ROW(C791)-3),ErrorCheckTable,3,FALSE)))</f>
        <v/>
      </c>
      <c r="D791" s="59" t="str">
        <f>IF(ISERROR(VLOOKUP(SMALL('Error Check Table-Hidden'!B:B,ROW(C791)-3),ErrorCheckTable,4,FALSE)), "",(VLOOKUP(SMALL('Error Check Table-Hidden'!B:B,ROW(C791)-3),ErrorCheckTable,4,FALSE)))</f>
        <v/>
      </c>
    </row>
    <row r="792" spans="2:4" x14ac:dyDescent="0.2">
      <c r="B792" s="67" t="str">
        <f t="shared" si="12"/>
        <v/>
      </c>
      <c r="C792" s="67" t="str">
        <f>IF(ISERROR(VLOOKUP(SMALL('Error Check Table-Hidden'!B:B,ROW(C792)-3),ErrorCheckTable,3,FALSE)), "",(VLOOKUP(SMALL('Error Check Table-Hidden'!B:B,ROW(C792)-3),ErrorCheckTable,3,FALSE)))</f>
        <v/>
      </c>
      <c r="D792" s="59" t="str">
        <f>IF(ISERROR(VLOOKUP(SMALL('Error Check Table-Hidden'!B:B,ROW(C792)-3),ErrorCheckTable,4,FALSE)), "",(VLOOKUP(SMALL('Error Check Table-Hidden'!B:B,ROW(C792)-3),ErrorCheckTable,4,FALSE)))</f>
        <v/>
      </c>
    </row>
    <row r="793" spans="2:4" x14ac:dyDescent="0.2">
      <c r="B793" s="67" t="str">
        <f t="shared" si="12"/>
        <v/>
      </c>
      <c r="C793" s="67" t="str">
        <f>IF(ISERROR(VLOOKUP(SMALL('Error Check Table-Hidden'!B:B,ROW(C793)-3),ErrorCheckTable,3,FALSE)), "",(VLOOKUP(SMALL('Error Check Table-Hidden'!B:B,ROW(C793)-3),ErrorCheckTable,3,FALSE)))</f>
        <v/>
      </c>
      <c r="D793" s="59" t="str">
        <f>IF(ISERROR(VLOOKUP(SMALL('Error Check Table-Hidden'!B:B,ROW(C793)-3),ErrorCheckTable,4,FALSE)), "",(VLOOKUP(SMALL('Error Check Table-Hidden'!B:B,ROW(C793)-3),ErrorCheckTable,4,FALSE)))</f>
        <v/>
      </c>
    </row>
    <row r="794" spans="2:4" x14ac:dyDescent="0.2">
      <c r="B794" s="67" t="str">
        <f t="shared" si="12"/>
        <v/>
      </c>
      <c r="C794" s="67" t="str">
        <f>IF(ISERROR(VLOOKUP(SMALL('Error Check Table-Hidden'!B:B,ROW(C794)-3),ErrorCheckTable,3,FALSE)), "",(VLOOKUP(SMALL('Error Check Table-Hidden'!B:B,ROW(C794)-3),ErrorCheckTable,3,FALSE)))</f>
        <v/>
      </c>
      <c r="D794" s="59" t="str">
        <f>IF(ISERROR(VLOOKUP(SMALL('Error Check Table-Hidden'!B:B,ROW(C794)-3),ErrorCheckTable,4,FALSE)), "",(VLOOKUP(SMALL('Error Check Table-Hidden'!B:B,ROW(C794)-3),ErrorCheckTable,4,FALSE)))</f>
        <v/>
      </c>
    </row>
    <row r="795" spans="2:4" x14ac:dyDescent="0.2">
      <c r="B795" s="67" t="str">
        <f t="shared" si="12"/>
        <v/>
      </c>
      <c r="C795" s="67" t="str">
        <f>IF(ISERROR(VLOOKUP(SMALL('Error Check Table-Hidden'!B:B,ROW(C795)-3),ErrorCheckTable,3,FALSE)), "",(VLOOKUP(SMALL('Error Check Table-Hidden'!B:B,ROW(C795)-3),ErrorCheckTable,3,FALSE)))</f>
        <v/>
      </c>
      <c r="D795" s="59" t="str">
        <f>IF(ISERROR(VLOOKUP(SMALL('Error Check Table-Hidden'!B:B,ROW(C795)-3),ErrorCheckTable,4,FALSE)), "",(VLOOKUP(SMALL('Error Check Table-Hidden'!B:B,ROW(C795)-3),ErrorCheckTable,4,FALSE)))</f>
        <v/>
      </c>
    </row>
    <row r="796" spans="2:4" x14ac:dyDescent="0.2">
      <c r="B796" s="67" t="str">
        <f t="shared" si="12"/>
        <v/>
      </c>
      <c r="C796" s="67" t="str">
        <f>IF(ISERROR(VLOOKUP(SMALL('Error Check Table-Hidden'!B:B,ROW(C796)-3),ErrorCheckTable,3,FALSE)), "",(VLOOKUP(SMALL('Error Check Table-Hidden'!B:B,ROW(C796)-3),ErrorCheckTable,3,FALSE)))</f>
        <v/>
      </c>
      <c r="D796" s="59" t="str">
        <f>IF(ISERROR(VLOOKUP(SMALL('Error Check Table-Hidden'!B:B,ROW(C796)-3),ErrorCheckTable,4,FALSE)), "",(VLOOKUP(SMALL('Error Check Table-Hidden'!B:B,ROW(C796)-3),ErrorCheckTable,4,FALSE)))</f>
        <v/>
      </c>
    </row>
    <row r="797" spans="2:4" x14ac:dyDescent="0.2">
      <c r="B797" s="67" t="str">
        <f t="shared" si="12"/>
        <v/>
      </c>
      <c r="C797" s="67" t="str">
        <f>IF(ISERROR(VLOOKUP(SMALL('Error Check Table-Hidden'!B:B,ROW(C797)-3),ErrorCheckTable,3,FALSE)), "",(VLOOKUP(SMALL('Error Check Table-Hidden'!B:B,ROW(C797)-3),ErrorCheckTable,3,FALSE)))</f>
        <v/>
      </c>
      <c r="D797" s="59" t="str">
        <f>IF(ISERROR(VLOOKUP(SMALL('Error Check Table-Hidden'!B:B,ROW(C797)-3),ErrorCheckTable,4,FALSE)), "",(VLOOKUP(SMALL('Error Check Table-Hidden'!B:B,ROW(C797)-3),ErrorCheckTable,4,FALSE)))</f>
        <v/>
      </c>
    </row>
    <row r="798" spans="2:4" x14ac:dyDescent="0.2">
      <c r="B798" s="67" t="str">
        <f t="shared" si="12"/>
        <v/>
      </c>
      <c r="C798" s="67" t="str">
        <f>IF(ISERROR(VLOOKUP(SMALL('Error Check Table-Hidden'!B:B,ROW(C798)-3),ErrorCheckTable,3,FALSE)), "",(VLOOKUP(SMALL('Error Check Table-Hidden'!B:B,ROW(C798)-3),ErrorCheckTable,3,FALSE)))</f>
        <v/>
      </c>
      <c r="D798" s="59" t="str">
        <f>IF(ISERROR(VLOOKUP(SMALL('Error Check Table-Hidden'!B:B,ROW(C798)-3),ErrorCheckTable,4,FALSE)), "",(VLOOKUP(SMALL('Error Check Table-Hidden'!B:B,ROW(C798)-3),ErrorCheckTable,4,FALSE)))</f>
        <v/>
      </c>
    </row>
    <row r="799" spans="2:4" x14ac:dyDescent="0.2">
      <c r="B799" s="67" t="str">
        <f t="shared" si="12"/>
        <v/>
      </c>
      <c r="C799" s="67" t="str">
        <f>IF(ISERROR(VLOOKUP(SMALL('Error Check Table-Hidden'!B:B,ROW(C799)-3),ErrorCheckTable,3,FALSE)), "",(VLOOKUP(SMALL('Error Check Table-Hidden'!B:B,ROW(C799)-3),ErrorCheckTable,3,FALSE)))</f>
        <v/>
      </c>
      <c r="D799" s="59" t="str">
        <f>IF(ISERROR(VLOOKUP(SMALL('Error Check Table-Hidden'!B:B,ROW(C799)-3),ErrorCheckTable,4,FALSE)), "",(VLOOKUP(SMALL('Error Check Table-Hidden'!B:B,ROW(C799)-3),ErrorCheckTable,4,FALSE)))</f>
        <v/>
      </c>
    </row>
    <row r="800" spans="2:4" x14ac:dyDescent="0.2">
      <c r="B800" s="67" t="str">
        <f t="shared" si="12"/>
        <v/>
      </c>
      <c r="C800" s="67" t="str">
        <f>IF(ISERROR(VLOOKUP(SMALL('Error Check Table-Hidden'!B:B,ROW(C800)-3),ErrorCheckTable,3,FALSE)), "",(VLOOKUP(SMALL('Error Check Table-Hidden'!B:B,ROW(C800)-3),ErrorCheckTable,3,FALSE)))</f>
        <v/>
      </c>
      <c r="D800" s="59" t="str">
        <f>IF(ISERROR(VLOOKUP(SMALL('Error Check Table-Hidden'!B:B,ROW(C800)-3),ErrorCheckTable,4,FALSE)), "",(VLOOKUP(SMALL('Error Check Table-Hidden'!B:B,ROW(C800)-3),ErrorCheckTable,4,FALSE)))</f>
        <v/>
      </c>
    </row>
    <row r="801" spans="2:4" x14ac:dyDescent="0.2">
      <c r="B801" s="67" t="str">
        <f t="shared" si="12"/>
        <v/>
      </c>
      <c r="C801" s="67" t="str">
        <f>IF(ISERROR(VLOOKUP(SMALL('Error Check Table-Hidden'!B:B,ROW(C801)-2),ErrorCheckTable,3,FALSE)), "",(VLOOKUP(SMALL('Error Check Table-Hidden'!B:B,ROW(C801)-2),ErrorCheckTable,3,FALSE)))</f>
        <v/>
      </c>
      <c r="D801" s="59" t="str">
        <f>IF(ISERROR(VLOOKUP(SMALL('Error Check Table-Hidden'!B:B,ROW(C801)-2),ErrorCheckTable,4,FALSE)), "",(VLOOKUP(SMALL('Error Check Table-Hidden'!B:B,ROW(C801)-2),ErrorCheckTable,4,FALSE)))</f>
        <v/>
      </c>
    </row>
  </sheetData>
  <sheetProtection password="BF01" sheet="1" objects="1" scenarios="1"/>
  <pageMargins left="0.7" right="0.7" top="0.75" bottom="0.75" header="0.3" footer="0.3"/>
  <pageSetup scale="83" orientation="portrait" horizontalDpi="300" verticalDpi="300" r:id="rId1"/>
  <colBreaks count="1" manualBreakCount="1">
    <brk id="4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F13" sqref="F13"/>
    </sheetView>
  </sheetViews>
  <sheetFormatPr defaultColWidth="9.140625" defaultRowHeight="14.25" x14ac:dyDescent="0.2"/>
  <cols>
    <col min="1" max="4" width="9.140625" style="254"/>
    <col min="5" max="5" width="21" style="254" customWidth="1"/>
    <col min="6" max="6" width="54.28515625" style="254" customWidth="1"/>
    <col min="7" max="7" width="6.7109375" style="254" customWidth="1"/>
    <col min="8" max="8" width="5.5703125" style="254" customWidth="1"/>
    <col min="9" max="16384" width="9.140625" style="254"/>
  </cols>
  <sheetData>
    <row r="4" spans="2:11" x14ac:dyDescent="0.2">
      <c r="B4" s="254" t="s">
        <v>628</v>
      </c>
      <c r="C4" s="254" t="s">
        <v>559</v>
      </c>
      <c r="E4" s="254" t="s">
        <v>512</v>
      </c>
      <c r="F4" s="254" t="s">
        <v>513</v>
      </c>
    </row>
    <row r="5" spans="2:11" ht="18.75" x14ac:dyDescent="0.35">
      <c r="B5" s="254">
        <f>IF(D5="y",C5,"")</f>
        <v>1</v>
      </c>
      <c r="C5" s="254">
        <f>1</f>
        <v>1</v>
      </c>
      <c r="D5" s="190" t="s">
        <v>521</v>
      </c>
      <c r="E5" s="254" t="s">
        <v>665</v>
      </c>
      <c r="F5" s="251" t="s">
        <v>726</v>
      </c>
      <c r="G5" s="251"/>
      <c r="H5" s="251"/>
      <c r="I5" s="254">
        <f>'DU Computations-Hidden'!D572</f>
        <v>0.95758761936923342</v>
      </c>
    </row>
    <row r="6" spans="2:11" x14ac:dyDescent="0.2">
      <c r="B6" s="254">
        <f t="shared" ref="B6:B26" si="0">IF(D6="y",C6,"")</f>
        <v>2</v>
      </c>
      <c r="C6" s="254">
        <f t="shared" ref="C6:C26" si="1">C5+1</f>
        <v>2</v>
      </c>
      <c r="D6" s="190" t="s">
        <v>521</v>
      </c>
      <c r="E6" s="254" t="s">
        <v>665</v>
      </c>
      <c r="F6" s="62" t="s">
        <v>170</v>
      </c>
      <c r="G6" s="62"/>
      <c r="H6" s="62"/>
    </row>
    <row r="7" spans="2:11" x14ac:dyDescent="0.2">
      <c r="B7" s="254">
        <f t="shared" si="0"/>
        <v>3</v>
      </c>
      <c r="C7" s="254">
        <f t="shared" si="1"/>
        <v>3</v>
      </c>
      <c r="D7" s="190" t="s">
        <v>521</v>
      </c>
      <c r="E7" s="254" t="s">
        <v>665</v>
      </c>
    </row>
    <row r="8" spans="2:11" x14ac:dyDescent="0.2">
      <c r="B8" s="254">
        <f t="shared" si="0"/>
        <v>4</v>
      </c>
      <c r="C8" s="254">
        <f t="shared" si="1"/>
        <v>4</v>
      </c>
      <c r="D8" s="190" t="s">
        <v>521</v>
      </c>
      <c r="E8" s="254" t="s">
        <v>665</v>
      </c>
      <c r="F8" s="397" t="s">
        <v>457</v>
      </c>
      <c r="G8" s="397"/>
      <c r="H8" s="397"/>
      <c r="I8" s="397"/>
      <c r="J8" s="397"/>
      <c r="K8" s="397"/>
    </row>
    <row r="9" spans="2:11" x14ac:dyDescent="0.2">
      <c r="B9" s="254">
        <f t="shared" si="0"/>
        <v>5</v>
      </c>
      <c r="C9" s="254">
        <f t="shared" si="1"/>
        <v>5</v>
      </c>
      <c r="D9" s="190" t="s">
        <v>521</v>
      </c>
      <c r="E9" s="254" t="s">
        <v>665</v>
      </c>
      <c r="F9" s="251" t="s">
        <v>458</v>
      </c>
      <c r="G9" s="251"/>
      <c r="H9" s="251"/>
    </row>
    <row r="10" spans="2:11" x14ac:dyDescent="0.2">
      <c r="B10" s="254">
        <f t="shared" si="0"/>
        <v>6</v>
      </c>
      <c r="C10" s="254">
        <f t="shared" si="1"/>
        <v>6</v>
      </c>
      <c r="D10" s="190" t="s">
        <v>521</v>
      </c>
      <c r="E10" s="254" t="s">
        <v>665</v>
      </c>
    </row>
    <row r="11" spans="2:11" x14ac:dyDescent="0.2">
      <c r="B11" s="254">
        <f t="shared" si="0"/>
        <v>7</v>
      </c>
      <c r="C11" s="254">
        <f t="shared" si="1"/>
        <v>7</v>
      </c>
      <c r="D11" s="190" t="s">
        <v>521</v>
      </c>
      <c r="E11" s="330" t="s">
        <v>665</v>
      </c>
      <c r="F11" s="252" t="s">
        <v>777</v>
      </c>
      <c r="G11" s="252"/>
      <c r="H11" s="252"/>
      <c r="I11" s="260">
        <f>'DU Computations-Hidden'!G567</f>
        <v>0.35557089846064405</v>
      </c>
    </row>
    <row r="12" spans="2:11" x14ac:dyDescent="0.2">
      <c r="B12" s="254">
        <f t="shared" si="0"/>
        <v>8</v>
      </c>
      <c r="C12" s="254">
        <f t="shared" si="1"/>
        <v>8</v>
      </c>
      <c r="D12" s="190" t="s">
        <v>521</v>
      </c>
      <c r="E12" s="330" t="s">
        <v>665</v>
      </c>
      <c r="F12" s="252"/>
      <c r="G12" s="252"/>
      <c r="H12" s="252"/>
      <c r="I12" s="260"/>
    </row>
    <row r="13" spans="2:11" x14ac:dyDescent="0.2">
      <c r="B13" s="254">
        <f t="shared" si="0"/>
        <v>9</v>
      </c>
      <c r="C13" s="321">
        <f t="shared" si="1"/>
        <v>9</v>
      </c>
      <c r="D13" s="190" t="s">
        <v>521</v>
      </c>
      <c r="E13" s="330" t="s">
        <v>665</v>
      </c>
      <c r="F13" s="331" t="s">
        <v>886</v>
      </c>
      <c r="G13" s="29">
        <f>'Other Computations-Hidden'!C159</f>
        <v>0</v>
      </c>
      <c r="H13" s="254" t="s">
        <v>125</v>
      </c>
      <c r="I13" s="260"/>
    </row>
    <row r="14" spans="2:11" x14ac:dyDescent="0.2">
      <c r="B14" s="254">
        <f t="shared" si="0"/>
        <v>10</v>
      </c>
      <c r="C14" s="254">
        <f t="shared" si="1"/>
        <v>10</v>
      </c>
      <c r="D14" s="190" t="s">
        <v>521</v>
      </c>
      <c r="E14" s="330" t="s">
        <v>665</v>
      </c>
      <c r="F14" s="254" t="s">
        <v>710</v>
      </c>
      <c r="G14" s="29">
        <f>'Other Computations-Hidden'!E188</f>
        <v>17</v>
      </c>
      <c r="H14" s="254" t="s">
        <v>125</v>
      </c>
      <c r="I14" s="260"/>
    </row>
    <row r="15" spans="2:11" x14ac:dyDescent="0.2">
      <c r="B15" s="254">
        <f t="shared" si="0"/>
        <v>11</v>
      </c>
      <c r="C15" s="254">
        <f t="shared" si="1"/>
        <v>11</v>
      </c>
      <c r="D15" s="190" t="s">
        <v>521</v>
      </c>
      <c r="E15" s="330" t="s">
        <v>665</v>
      </c>
    </row>
    <row r="16" spans="2:11" x14ac:dyDescent="0.2">
      <c r="B16" s="254">
        <f t="shared" si="0"/>
        <v>12</v>
      </c>
      <c r="C16" s="254">
        <f t="shared" si="1"/>
        <v>12</v>
      </c>
      <c r="D16" s="190" t="s">
        <v>521</v>
      </c>
      <c r="E16" s="330" t="s">
        <v>665</v>
      </c>
      <c r="F16" s="252" t="s">
        <v>778</v>
      </c>
      <c r="G16" s="252"/>
      <c r="H16" s="252"/>
      <c r="I16" s="260">
        <f>'DU Computations-Hidden'!G568</f>
        <v>0.54737441824182687</v>
      </c>
    </row>
    <row r="17" spans="2:9" x14ac:dyDescent="0.2">
      <c r="B17" s="254">
        <f t="shared" si="0"/>
        <v>13</v>
      </c>
      <c r="C17" s="254">
        <f t="shared" si="1"/>
        <v>13</v>
      </c>
      <c r="D17" s="190" t="s">
        <v>521</v>
      </c>
      <c r="E17" s="330" t="s">
        <v>665</v>
      </c>
    </row>
    <row r="18" spans="2:9" x14ac:dyDescent="0.2">
      <c r="B18" s="254">
        <f t="shared" si="0"/>
        <v>14</v>
      </c>
      <c r="C18" s="254">
        <f t="shared" si="1"/>
        <v>14</v>
      </c>
      <c r="D18" s="190" t="s">
        <v>521</v>
      </c>
      <c r="E18" s="330" t="s">
        <v>665</v>
      </c>
      <c r="F18" s="251" t="s">
        <v>779</v>
      </c>
      <c r="G18" s="251"/>
      <c r="H18" s="251"/>
      <c r="I18" s="260">
        <f>'DU Computations-Hidden'!G569</f>
        <v>0</v>
      </c>
    </row>
    <row r="19" spans="2:9" x14ac:dyDescent="0.2">
      <c r="B19" s="254">
        <f t="shared" si="0"/>
        <v>15</v>
      </c>
      <c r="C19" s="254">
        <f t="shared" si="1"/>
        <v>15</v>
      </c>
      <c r="D19" s="190" t="s">
        <v>521</v>
      </c>
      <c r="E19" s="330" t="s">
        <v>665</v>
      </c>
    </row>
    <row r="20" spans="2:9" x14ac:dyDescent="0.2">
      <c r="B20" s="254">
        <f t="shared" si="0"/>
        <v>16</v>
      </c>
      <c r="C20" s="254">
        <f t="shared" si="1"/>
        <v>16</v>
      </c>
      <c r="D20" s="190" t="s">
        <v>521</v>
      </c>
      <c r="E20" s="330" t="s">
        <v>665</v>
      </c>
      <c r="F20" s="251" t="s">
        <v>780</v>
      </c>
      <c r="G20" s="251"/>
      <c r="H20" s="251"/>
      <c r="I20" s="260">
        <f>'DU Computations-Hidden'!G570</f>
        <v>9.7054683297529101E-2</v>
      </c>
    </row>
    <row r="21" spans="2:9" x14ac:dyDescent="0.2">
      <c r="B21" s="254">
        <f t="shared" si="0"/>
        <v>17</v>
      </c>
      <c r="C21" s="254">
        <f t="shared" si="1"/>
        <v>17</v>
      </c>
      <c r="D21" s="190" t="s">
        <v>521</v>
      </c>
      <c r="E21" s="330" t="s">
        <v>665</v>
      </c>
    </row>
    <row r="22" spans="2:9" x14ac:dyDescent="0.2">
      <c r="B22" s="254">
        <f t="shared" si="0"/>
        <v>18</v>
      </c>
      <c r="C22" s="254">
        <f t="shared" si="1"/>
        <v>18</v>
      </c>
      <c r="D22" s="190" t="s">
        <v>521</v>
      </c>
      <c r="E22" s="330" t="s">
        <v>665</v>
      </c>
    </row>
    <row r="23" spans="2:9" x14ac:dyDescent="0.2">
      <c r="B23" s="254">
        <f t="shared" si="0"/>
        <v>19</v>
      </c>
      <c r="C23" s="254">
        <f t="shared" si="1"/>
        <v>19</v>
      </c>
      <c r="D23" s="190" t="s">
        <v>521</v>
      </c>
      <c r="E23" s="330" t="s">
        <v>665</v>
      </c>
      <c r="F23" s="254" t="s">
        <v>792</v>
      </c>
      <c r="G23" s="251">
        <f>'Other Computations-Hidden'!C39</f>
        <v>0</v>
      </c>
      <c r="H23" s="254" t="s">
        <v>125</v>
      </c>
    </row>
    <row r="24" spans="2:9" x14ac:dyDescent="0.2">
      <c r="B24" s="254">
        <f t="shared" si="0"/>
        <v>20</v>
      </c>
      <c r="C24" s="254">
        <f t="shared" si="1"/>
        <v>20</v>
      </c>
      <c r="D24" s="190" t="s">
        <v>521</v>
      </c>
      <c r="E24" s="330" t="s">
        <v>665</v>
      </c>
    </row>
    <row r="25" spans="2:9" x14ac:dyDescent="0.2">
      <c r="B25" s="254">
        <f t="shared" si="0"/>
        <v>21</v>
      </c>
      <c r="C25" s="254">
        <f t="shared" si="1"/>
        <v>21</v>
      </c>
      <c r="D25" s="190" t="s">
        <v>521</v>
      </c>
      <c r="E25" s="330" t="s">
        <v>665</v>
      </c>
      <c r="F25" s="254" t="s">
        <v>793</v>
      </c>
      <c r="G25" s="251">
        <f>'Other Computations-Hidden'!I43</f>
        <v>0</v>
      </c>
      <c r="H25" s="254" t="s">
        <v>133</v>
      </c>
    </row>
    <row r="26" spans="2:9" x14ac:dyDescent="0.2">
      <c r="B26" s="254" t="str">
        <f t="shared" si="0"/>
        <v/>
      </c>
      <c r="C26" s="254">
        <f t="shared" si="1"/>
        <v>22</v>
      </c>
    </row>
  </sheetData>
  <mergeCells count="1">
    <mergeCell ref="F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3"/>
  <sheetViews>
    <sheetView topLeftCell="A63" zoomScaleNormal="100" workbookViewId="0">
      <selection activeCell="F13" sqref="F13"/>
    </sheetView>
  </sheetViews>
  <sheetFormatPr defaultColWidth="9.140625" defaultRowHeight="14.25" x14ac:dyDescent="0.2"/>
  <cols>
    <col min="1" max="16384" width="9.140625" style="254"/>
  </cols>
  <sheetData>
    <row r="1" spans="1:12" x14ac:dyDescent="0.2">
      <c r="A1" s="254" t="s">
        <v>470</v>
      </c>
    </row>
    <row r="2" spans="1:12" x14ac:dyDescent="0.2">
      <c r="A2" s="254" t="s">
        <v>471</v>
      </c>
    </row>
    <row r="3" spans="1:12" s="271" customFormat="1" ht="24.75" customHeight="1" x14ac:dyDescent="0.2">
      <c r="A3" s="266"/>
      <c r="B3" s="267" t="s">
        <v>472</v>
      </c>
      <c r="C3" s="268" t="s">
        <v>473</v>
      </c>
      <c r="D3" s="268" t="s">
        <v>474</v>
      </c>
      <c r="E3" s="269" t="s">
        <v>475</v>
      </c>
      <c r="F3" s="270" t="s">
        <v>467</v>
      </c>
      <c r="G3" s="267"/>
      <c r="H3" s="268" t="s">
        <v>476</v>
      </c>
      <c r="I3" s="268" t="s">
        <v>477</v>
      </c>
      <c r="J3" s="268" t="s">
        <v>478</v>
      </c>
      <c r="K3" s="268" t="s">
        <v>479</v>
      </c>
      <c r="L3" s="267" t="s">
        <v>480</v>
      </c>
    </row>
    <row r="4" spans="1:12" x14ac:dyDescent="0.2">
      <c r="A4" s="272" t="s">
        <v>481</v>
      </c>
      <c r="B4" s="273">
        <f>IF(Data!E413="","",Data!E413)</f>
        <v>23.5</v>
      </c>
      <c r="C4" s="274">
        <f>IF(Data!E414="","",Data!E414)</f>
        <v>800</v>
      </c>
      <c r="D4" s="274">
        <f>IF(Data!E416="","",Data!E416)</f>
        <v>8</v>
      </c>
      <c r="E4" s="275">
        <f>IF(AND(Data!G419=1,Data!E413=""),"",IF(Data!G419=3,Data!E371,Data!E424))</f>
        <v>4.0714285714285712</v>
      </c>
      <c r="F4" s="276">
        <f>IF(E4="","",IF(Data!G419=2,Data!G426,3))</f>
        <v>3</v>
      </c>
      <c r="G4" s="273" t="str">
        <f>IF(F4=2,"gph",IF(F4=3,"lph",IF(F4=4,"mL/hr","")))</f>
        <v>lph</v>
      </c>
      <c r="H4" s="274">
        <f>IF(Data!E431="","",Data!E431)</f>
        <v>15</v>
      </c>
      <c r="I4" s="274">
        <f>IF(Data!E432="","",Data!E432)</f>
        <v>8.5</v>
      </c>
      <c r="J4" s="274">
        <f>IF(Data!E434="","",Data!E434)</f>
        <v>8</v>
      </c>
      <c r="K4" s="274">
        <f>IF(Data!E435="","",Data!E435)</f>
        <v>7</v>
      </c>
      <c r="L4" s="273">
        <f>IF(Data!E437="","",Data!E437)</f>
        <v>0.2</v>
      </c>
    </row>
    <row r="5" spans="1:12" x14ac:dyDescent="0.2">
      <c r="A5" s="272" t="s">
        <v>482</v>
      </c>
      <c r="B5" s="273" t="str">
        <f>IF(Data!E440="","",Data!E440)</f>
        <v/>
      </c>
      <c r="C5" s="274" t="str">
        <f>IF(Data!E441="","",Data!E441)</f>
        <v/>
      </c>
      <c r="D5" s="274" t="str">
        <f>IF(Data!E443="","",Data!E443)</f>
        <v/>
      </c>
      <c r="E5" s="275" t="str">
        <f>IF(AND(Data!G446=1,Data!E440=""),"",IF(Data!G446=3,Data!E371,Data!E451))</f>
        <v/>
      </c>
      <c r="F5" s="276" t="str">
        <f>IF(E5="","",IF(Data!G446=2,Data!G453,3))</f>
        <v/>
      </c>
      <c r="G5" s="273" t="str">
        <f>IF(F5=2,"gph",IF(F5=3,"lph",IF(F5=4,"mL/hr","")))</f>
        <v/>
      </c>
      <c r="H5" s="274" t="str">
        <f>IF(Data!E458="","", Data!E458)</f>
        <v/>
      </c>
      <c r="I5" s="274" t="str">
        <f>IF(Data!E459="","",Data!E459)</f>
        <v/>
      </c>
      <c r="J5" s="274" t="str">
        <f>IF(Data!E461="","",Data!E461)</f>
        <v/>
      </c>
      <c r="K5" s="274" t="str">
        <f>IF(Data!E462="","",Data!E462)</f>
        <v/>
      </c>
      <c r="L5" s="273" t="str">
        <f>IF(Data!E464="","",Data!E464)</f>
        <v/>
      </c>
    </row>
    <row r="6" spans="1:12" x14ac:dyDescent="0.2">
      <c r="A6" s="277" t="s">
        <v>483</v>
      </c>
      <c r="B6" s="278" t="str">
        <f>IF(Data!E467="","",Data!E467)</f>
        <v/>
      </c>
      <c r="C6" s="158" t="str">
        <f>IF(Data!E468="","",Data!E468)</f>
        <v/>
      </c>
      <c r="D6" s="158" t="str">
        <f>IF(Data!E470="","",Data!E470)</f>
        <v/>
      </c>
      <c r="E6" s="279" t="str">
        <f>IF(AND(Data!G473=1,Data!E467=""),"",IF(Data!G473=3,Data!E371,Data!E478))</f>
        <v/>
      </c>
      <c r="F6" s="280" t="str">
        <f>IF(E6="","",IF(Data!G473=2,Data!G480,3))</f>
        <v/>
      </c>
      <c r="G6" s="278" t="str">
        <f>IF(F6=2,"gph",IF(F6=3,"lph",IF(F6=4,"mL/hr","")))</f>
        <v/>
      </c>
      <c r="H6" s="158" t="str">
        <f>IF(Data!E485="","",Data!E485)</f>
        <v/>
      </c>
      <c r="I6" s="158" t="str">
        <f>IF(Data!E486="","",Data!E486)</f>
        <v/>
      </c>
      <c r="J6" s="274" t="str">
        <f>IF(Data!E488="","",Data!E488)</f>
        <v/>
      </c>
      <c r="K6" s="158" t="str">
        <f>IF(Data!E489="","",Data!E489)</f>
        <v/>
      </c>
      <c r="L6" s="278" t="str">
        <f>IF(Data!E491="","",Data!E491)</f>
        <v/>
      </c>
    </row>
    <row r="7" spans="1:12" x14ac:dyDescent="0.2">
      <c r="J7" s="3"/>
    </row>
    <row r="8" spans="1:12" s="78" customFormat="1" ht="15" thickBot="1" x14ac:dyDescent="0.25"/>
    <row r="9" spans="1:12" x14ac:dyDescent="0.2">
      <c r="A9" s="254" t="s">
        <v>484</v>
      </c>
    </row>
    <row r="11" spans="1:12" x14ac:dyDescent="0.2">
      <c r="A11" s="254" t="s">
        <v>542</v>
      </c>
    </row>
    <row r="17" spans="1:7" x14ac:dyDescent="0.2">
      <c r="A17" s="254" t="s">
        <v>485</v>
      </c>
    </row>
    <row r="18" spans="1:7" x14ac:dyDescent="0.2">
      <c r="A18" s="281" t="s">
        <v>481</v>
      </c>
      <c r="B18" s="282">
        <f>IF(B4="","",D4*H4*I4/C4)</f>
        <v>1.2749999999999999</v>
      </c>
      <c r="C18" s="281" t="s">
        <v>486</v>
      </c>
      <c r="D18" s="254" t="s">
        <v>487</v>
      </c>
    </row>
    <row r="19" spans="1:7" x14ac:dyDescent="0.2">
      <c r="A19" s="281" t="s">
        <v>482</v>
      </c>
      <c r="B19" s="282" t="str">
        <f>IF(B5="","",D5*H5*I5/C5)</f>
        <v/>
      </c>
      <c r="C19" s="281" t="s">
        <v>486</v>
      </c>
      <c r="D19" s="254" t="s">
        <v>488</v>
      </c>
    </row>
    <row r="20" spans="1:7" x14ac:dyDescent="0.2">
      <c r="A20" s="281" t="s">
        <v>483</v>
      </c>
      <c r="B20" s="282" t="str">
        <f>IF(B6="","",D6*H6*I6/C6)</f>
        <v/>
      </c>
      <c r="C20" s="281" t="s">
        <v>486</v>
      </c>
      <c r="D20" s="254" t="s">
        <v>489</v>
      </c>
    </row>
    <row r="22" spans="1:7" x14ac:dyDescent="0.2">
      <c r="A22" s="254" t="s">
        <v>490</v>
      </c>
    </row>
    <row r="23" spans="1:7" x14ac:dyDescent="0.2">
      <c r="A23" s="72" t="s">
        <v>481</v>
      </c>
      <c r="B23" s="283">
        <f>IF(I4="","",I4)</f>
        <v>8.5</v>
      </c>
      <c r="C23" s="72" t="s">
        <v>486</v>
      </c>
      <c r="D23" s="284" t="s">
        <v>491</v>
      </c>
    </row>
    <row r="24" spans="1:7" x14ac:dyDescent="0.2">
      <c r="A24" s="72" t="s">
        <v>482</v>
      </c>
      <c r="B24" s="283" t="str">
        <f t="shared" ref="B24:B25" si="0">IF(I5="","",I5)</f>
        <v/>
      </c>
      <c r="C24" s="72" t="s">
        <v>486</v>
      </c>
      <c r="D24" s="284" t="s">
        <v>492</v>
      </c>
    </row>
    <row r="25" spans="1:7" x14ac:dyDescent="0.2">
      <c r="A25" s="72" t="s">
        <v>483</v>
      </c>
      <c r="B25" s="283" t="str">
        <f t="shared" si="0"/>
        <v/>
      </c>
      <c r="C25" s="72" t="s">
        <v>486</v>
      </c>
      <c r="D25" s="284" t="s">
        <v>493</v>
      </c>
    </row>
    <row r="27" spans="1:7" x14ac:dyDescent="0.2">
      <c r="A27" s="254" t="s">
        <v>494</v>
      </c>
    </row>
    <row r="28" spans="1:7" x14ac:dyDescent="0.2">
      <c r="A28" s="254" t="s">
        <v>485</v>
      </c>
    </row>
    <row r="29" spans="1:7" x14ac:dyDescent="0.2">
      <c r="A29" s="285" t="s">
        <v>543</v>
      </c>
      <c r="B29" s="286">
        <f>IF(B18="","",MIN(B18,B23))</f>
        <v>1.2749999999999999</v>
      </c>
      <c r="C29" s="287" t="s">
        <v>486</v>
      </c>
      <c r="D29" s="254" t="str">
        <f>IF(B29="","",IF(B29=B18,D18,IF(B29=B23,D23,"error")))</f>
        <v>(199)*(203)*(204)/(198)</v>
      </c>
    </row>
    <row r="30" spans="1:7" x14ac:dyDescent="0.2">
      <c r="A30" s="288" t="s">
        <v>544</v>
      </c>
      <c r="B30" s="289" t="str">
        <f>IF(B19="","",MIN(B19,B24))</f>
        <v/>
      </c>
      <c r="C30" s="290" t="s">
        <v>486</v>
      </c>
      <c r="D30" s="254" t="str">
        <f>IF(B30="","",IF(B30=B19,D19,IF(B30=B24,D24,"error")))</f>
        <v/>
      </c>
      <c r="G30" s="254" t="s">
        <v>560</v>
      </c>
    </row>
    <row r="31" spans="1:7" x14ac:dyDescent="0.2">
      <c r="A31" s="291" t="s">
        <v>545</v>
      </c>
      <c r="B31" s="292" t="str">
        <f>IF(B20="","",MIN(B20,B25))</f>
        <v/>
      </c>
      <c r="C31" s="293" t="s">
        <v>486</v>
      </c>
      <c r="D31" s="254" t="str">
        <f>IF(B31="","",IF(B31=B20,D20,IF(B31=B25,D25,"error")))</f>
        <v/>
      </c>
    </row>
    <row r="32" spans="1:7" s="78" customFormat="1" ht="15" thickBot="1" x14ac:dyDescent="0.25"/>
    <row r="33" spans="1:6" ht="16.5" x14ac:dyDescent="0.2">
      <c r="A33" s="254" t="s">
        <v>788</v>
      </c>
    </row>
    <row r="34" spans="1:6" ht="16.5" x14ac:dyDescent="0.2">
      <c r="A34" s="254">
        <v>231</v>
      </c>
      <c r="B34" s="254" t="s">
        <v>789</v>
      </c>
    </row>
    <row r="35" spans="1:6" ht="16.5" x14ac:dyDescent="0.2">
      <c r="A35" s="254">
        <v>61.023744100000002</v>
      </c>
      <c r="B35" s="254" t="s">
        <v>790</v>
      </c>
    </row>
    <row r="36" spans="1:6" ht="16.5" x14ac:dyDescent="0.2">
      <c r="A36" s="254">
        <v>3.6614200000000001</v>
      </c>
      <c r="B36" s="254" t="s">
        <v>791</v>
      </c>
    </row>
    <row r="37" spans="1:6" x14ac:dyDescent="0.2">
      <c r="E37" s="294" t="s">
        <v>496</v>
      </c>
      <c r="F37" s="11"/>
    </row>
    <row r="38" spans="1:6" x14ac:dyDescent="0.2">
      <c r="A38" s="72" t="s">
        <v>497</v>
      </c>
      <c r="B38" s="283">
        <f>E4</f>
        <v>4.0714285714285712</v>
      </c>
      <c r="C38" s="72">
        <f>F4</f>
        <v>3</v>
      </c>
      <c r="D38" s="72" t="str">
        <f>IF(C38=2,"gph",IF(C38=3,"lph",IF(C38=4,"mL/min","")))</f>
        <v>lph</v>
      </c>
      <c r="E38" s="14">
        <f>IF(B38="","",IF(C38=2,B38*$A$34,IF(C38=3,$A$35*B38,IF(C38=4,$A$36*B38,"error"))))</f>
        <v>248.45381526428571</v>
      </c>
      <c r="F38" s="13" t="str">
        <f>IF(E38="","","in^3/hr")</f>
        <v>in^3/hr</v>
      </c>
    </row>
    <row r="39" spans="1:6" x14ac:dyDescent="0.2">
      <c r="A39" s="72" t="s">
        <v>498</v>
      </c>
      <c r="B39" s="283" t="str">
        <f t="shared" ref="B39:B40" si="1">E5</f>
        <v/>
      </c>
      <c r="C39" s="72" t="str">
        <f t="shared" ref="C39:C40" si="2">F5</f>
        <v/>
      </c>
      <c r="D39" s="72" t="str">
        <f>IF(C39=2,"gph",IF(C39=3,"lph",IF(C39=4,"mL/min","")))</f>
        <v/>
      </c>
      <c r="E39" s="14" t="str">
        <f>IF(B39="","",IF(C39=2,B39*$A$34,IF(C39=3,$A$35*B39,IF(C39=4,$A$36*B39,"error"))))</f>
        <v/>
      </c>
      <c r="F39" s="13" t="str">
        <f>IF(E39="","","in^3/hr")</f>
        <v/>
      </c>
    </row>
    <row r="40" spans="1:6" x14ac:dyDescent="0.2">
      <c r="A40" s="72" t="s">
        <v>499</v>
      </c>
      <c r="B40" s="283" t="str">
        <f t="shared" si="1"/>
        <v/>
      </c>
      <c r="C40" s="72" t="str">
        <f t="shared" si="2"/>
        <v/>
      </c>
      <c r="D40" s="72" t="str">
        <f>IF(C40=2,"gph",IF(C40=3,"lph",IF(C40=4,"mL/min","")))</f>
        <v/>
      </c>
      <c r="E40" s="15" t="str">
        <f>IF(B40="","",IF(C40=2,B40*$A$34,IF(C40=3,$A$35*B40,IF(C40=4,$A$36*B40,"error"))))</f>
        <v/>
      </c>
      <c r="F40" s="16" t="str">
        <f>IF(E40="","","in^3/hr")</f>
        <v/>
      </c>
    </row>
    <row r="41" spans="1:6" x14ac:dyDescent="0.2">
      <c r="B41" s="127"/>
      <c r="E41" s="1"/>
      <c r="F41" s="1"/>
    </row>
    <row r="42" spans="1:6" x14ac:dyDescent="0.2">
      <c r="A42" s="254" t="s">
        <v>495</v>
      </c>
    </row>
    <row r="48" spans="1:6" x14ac:dyDescent="0.2">
      <c r="A48" s="295" t="s">
        <v>500</v>
      </c>
      <c r="B48" s="296">
        <f>IF(E38="","",E38*D4/C4/144)</f>
        <v>1.7253737171130951E-2</v>
      </c>
      <c r="C48" s="287" t="str">
        <f>IF(B48="","","in/hr")</f>
        <v>in/hr</v>
      </c>
      <c r="D48" s="1"/>
    </row>
    <row r="49" spans="1:5" x14ac:dyDescent="0.2">
      <c r="A49" s="297" t="s">
        <v>501</v>
      </c>
      <c r="B49" s="298" t="str">
        <f>IF(E39="","",E39*D5/C5/144)</f>
        <v/>
      </c>
      <c r="C49" s="290" t="str">
        <f t="shared" ref="C49:C50" si="3">IF(B49="","","in/hr")</f>
        <v/>
      </c>
      <c r="D49" s="1"/>
      <c r="E49" s="254" t="s">
        <v>560</v>
      </c>
    </row>
    <row r="50" spans="1:5" x14ac:dyDescent="0.2">
      <c r="A50" s="299" t="s">
        <v>502</v>
      </c>
      <c r="B50" s="300" t="str">
        <f>IF(E40="","",E40*D6/C6/144)</f>
        <v/>
      </c>
      <c r="C50" s="293" t="str">
        <f t="shared" si="3"/>
        <v/>
      </c>
      <c r="D50" s="1"/>
    </row>
    <row r="51" spans="1:5" s="78" customFormat="1" ht="15" thickBot="1" x14ac:dyDescent="0.25"/>
    <row r="52" spans="1:5" x14ac:dyDescent="0.2">
      <c r="A52" s="254" t="s">
        <v>503</v>
      </c>
    </row>
    <row r="53" spans="1:5" ht="29.25" customHeight="1" x14ac:dyDescent="0.2"/>
    <row r="54" spans="1:5" ht="30" customHeight="1" x14ac:dyDescent="0.2">
      <c r="A54" s="254" t="s">
        <v>504</v>
      </c>
    </row>
    <row r="55" spans="1:5" ht="21.75" customHeight="1" x14ac:dyDescent="0.2">
      <c r="A55" s="254" t="s">
        <v>505</v>
      </c>
    </row>
    <row r="56" spans="1:5" ht="24.75" customHeight="1" x14ac:dyDescent="0.2">
      <c r="A56" s="254" t="s">
        <v>506</v>
      </c>
    </row>
    <row r="58" spans="1:5" x14ac:dyDescent="0.2">
      <c r="A58" s="301" t="s">
        <v>504</v>
      </c>
    </row>
    <row r="59" spans="1:5" x14ac:dyDescent="0.2">
      <c r="A59" s="254" t="s">
        <v>507</v>
      </c>
    </row>
    <row r="60" spans="1:5" ht="28.5" x14ac:dyDescent="0.2">
      <c r="A60" s="72"/>
      <c r="B60" s="302" t="s">
        <v>508</v>
      </c>
      <c r="C60" s="72" t="s">
        <v>509</v>
      </c>
    </row>
    <row r="61" spans="1:5" x14ac:dyDescent="0.2">
      <c r="A61" s="72" t="s">
        <v>481</v>
      </c>
      <c r="B61" s="72">
        <f>IF(D4="",0,D4)</f>
        <v>8</v>
      </c>
      <c r="C61" s="72">
        <f>IF(B4="",0,B4)</f>
        <v>23.5</v>
      </c>
    </row>
    <row r="62" spans="1:5" x14ac:dyDescent="0.2">
      <c r="A62" s="72" t="s">
        <v>482</v>
      </c>
      <c r="B62" s="72">
        <f>IF(D5="",0,D5)</f>
        <v>0</v>
      </c>
      <c r="C62" s="72">
        <f>IF(B5="",0,B5)</f>
        <v>0</v>
      </c>
    </row>
    <row r="63" spans="1:5" x14ac:dyDescent="0.2">
      <c r="A63" s="72" t="s">
        <v>483</v>
      </c>
      <c r="B63" s="72">
        <f>IF(D6="",0,D6)</f>
        <v>0</v>
      </c>
      <c r="C63" s="72">
        <f>IF(B6="",0,B6)</f>
        <v>0</v>
      </c>
    </row>
    <row r="65" spans="1:3" x14ac:dyDescent="0.2">
      <c r="A65" s="254" t="s">
        <v>510</v>
      </c>
    </row>
    <row r="66" spans="1:3" x14ac:dyDescent="0.2">
      <c r="B66" s="298">
        <f>(B61*C61+B62*C62+B63*C63)/(C61+C62+C63)</f>
        <v>8</v>
      </c>
    </row>
    <row r="68" spans="1:3" x14ac:dyDescent="0.2">
      <c r="A68" s="254" t="s">
        <v>515</v>
      </c>
      <c r="B68" s="254">
        <f>'DU Computations-Hidden'!I389</f>
        <v>0.97650060084496371</v>
      </c>
      <c r="C68" s="254" t="s">
        <v>516</v>
      </c>
    </row>
    <row r="70" spans="1:3" x14ac:dyDescent="0.2">
      <c r="A70" s="303" t="s">
        <v>517</v>
      </c>
      <c r="B70" s="304">
        <f>1-B66^-0.5+B66^-0.5*B68</f>
        <v>0.99169170775183213</v>
      </c>
    </row>
    <row r="72" spans="1:3" x14ac:dyDescent="0.2">
      <c r="A72" s="301" t="s">
        <v>518</v>
      </c>
    </row>
    <row r="73" spans="1:3" x14ac:dyDescent="0.2">
      <c r="A73" s="254" t="s">
        <v>519</v>
      </c>
    </row>
    <row r="74" spans="1:3" x14ac:dyDescent="0.2">
      <c r="A74" s="303" t="s">
        <v>518</v>
      </c>
      <c r="B74" s="304">
        <f>'DU Computations-Hidden'!G554</f>
        <v>0.99583333333333335</v>
      </c>
    </row>
    <row r="76" spans="1:3" x14ac:dyDescent="0.2">
      <c r="A76" s="301" t="s">
        <v>506</v>
      </c>
    </row>
    <row r="77" spans="1:3" x14ac:dyDescent="0.2">
      <c r="A77" s="254" t="s">
        <v>520</v>
      </c>
    </row>
    <row r="78" spans="1:3" x14ac:dyDescent="0.2">
      <c r="A78" s="303" t="s">
        <v>506</v>
      </c>
      <c r="B78" s="304">
        <f>'DU Computations-Hidden'!I258</f>
        <v>0.98473494158225339</v>
      </c>
    </row>
    <row r="81" spans="1:5" x14ac:dyDescent="0.2">
      <c r="A81" s="281" t="s">
        <v>522</v>
      </c>
      <c r="B81" s="281">
        <f>B70*B74*B78</f>
        <v>0.97248450308435297</v>
      </c>
    </row>
    <row r="83" spans="1:5" x14ac:dyDescent="0.2">
      <c r="A83" s="254" t="s">
        <v>523</v>
      </c>
    </row>
    <row r="86" spans="1:5" x14ac:dyDescent="0.2">
      <c r="A86" s="72" t="s">
        <v>547</v>
      </c>
      <c r="B86" s="72"/>
      <c r="C86" s="72">
        <f>Data!E24</f>
        <v>0</v>
      </c>
      <c r="D86" s="72" t="s">
        <v>133</v>
      </c>
      <c r="E86" s="284" t="s">
        <v>546</v>
      </c>
    </row>
    <row r="87" spans="1:5" x14ac:dyDescent="0.2">
      <c r="A87" s="305" t="s">
        <v>524</v>
      </c>
      <c r="B87" s="306">
        <f>B81*1-(C86/100)</f>
        <v>0.97248450308435297</v>
      </c>
    </row>
    <row r="88" spans="1:5" s="78" customFormat="1" ht="15" thickBot="1" x14ac:dyDescent="0.25"/>
    <row r="89" spans="1:5" x14ac:dyDescent="0.2">
      <c r="A89" s="254" t="s">
        <v>525</v>
      </c>
    </row>
    <row r="92" spans="1:5" x14ac:dyDescent="0.2">
      <c r="A92" s="295" t="s">
        <v>526</v>
      </c>
      <c r="B92" s="296">
        <f>IF(B48="","",$B$87*B48)</f>
        <v>1.6778992019215313E-2</v>
      </c>
      <c r="C92" s="287" t="s">
        <v>553</v>
      </c>
      <c r="D92" s="1"/>
    </row>
    <row r="93" spans="1:5" x14ac:dyDescent="0.2">
      <c r="A93" s="297" t="s">
        <v>527</v>
      </c>
      <c r="B93" s="298" t="str">
        <f>IF(B49="","",$B$87*B49)</f>
        <v/>
      </c>
      <c r="C93" s="290" t="s">
        <v>553</v>
      </c>
      <c r="D93" s="1"/>
      <c r="E93" s="254" t="s">
        <v>560</v>
      </c>
    </row>
    <row r="94" spans="1:5" x14ac:dyDescent="0.2">
      <c r="A94" s="299" t="s">
        <v>528</v>
      </c>
      <c r="B94" s="300" t="str">
        <f>IF(B50="","",$B$87*B50)</f>
        <v/>
      </c>
      <c r="C94" s="293" t="s">
        <v>553</v>
      </c>
      <c r="D94" s="1"/>
    </row>
    <row r="95" spans="1:5" s="78" customFormat="1" ht="15" thickBot="1" x14ac:dyDescent="0.25"/>
    <row r="96" spans="1:5" x14ac:dyDescent="0.2">
      <c r="A96" s="254" t="s">
        <v>540</v>
      </c>
    </row>
    <row r="97" spans="1:7" x14ac:dyDescent="0.2">
      <c r="A97" s="254" t="s">
        <v>538</v>
      </c>
    </row>
    <row r="102" spans="1:7" x14ac:dyDescent="0.2">
      <c r="A102" s="295" t="s">
        <v>529</v>
      </c>
      <c r="B102" s="307">
        <f>IF(B92="","",0.5*B29/B92)</f>
        <v>37.993939044129384</v>
      </c>
      <c r="C102" s="287" t="s">
        <v>541</v>
      </c>
    </row>
    <row r="103" spans="1:7" x14ac:dyDescent="0.2">
      <c r="A103" s="297" t="s">
        <v>530</v>
      </c>
      <c r="B103" s="308" t="str">
        <f>IF(B93="","",0.5*B30/B93)</f>
        <v/>
      </c>
      <c r="C103" s="290" t="s">
        <v>541</v>
      </c>
      <c r="E103" s="254" t="s">
        <v>561</v>
      </c>
    </row>
    <row r="104" spans="1:7" x14ac:dyDescent="0.2">
      <c r="A104" s="299" t="s">
        <v>531</v>
      </c>
      <c r="B104" s="309" t="str">
        <f>IF(B94="","",0.5*B31/B94)</f>
        <v/>
      </c>
      <c r="C104" s="293" t="s">
        <v>541</v>
      </c>
    </row>
    <row r="105" spans="1:7" s="78" customFormat="1" ht="15" thickBot="1" x14ac:dyDescent="0.25"/>
    <row r="106" spans="1:7" x14ac:dyDescent="0.2">
      <c r="A106" s="254" t="s">
        <v>539</v>
      </c>
    </row>
    <row r="111" spans="1:7" x14ac:dyDescent="0.2">
      <c r="A111" s="295" t="s">
        <v>533</v>
      </c>
      <c r="B111" s="307">
        <f>IF(B29="","",0.5*24*B29/L4)</f>
        <v>76.499999999999986</v>
      </c>
      <c r="C111" s="296" t="s">
        <v>535</v>
      </c>
      <c r="D111" s="296"/>
      <c r="E111" s="287"/>
    </row>
    <row r="112" spans="1:7" x14ac:dyDescent="0.2">
      <c r="A112" s="297" t="s">
        <v>532</v>
      </c>
      <c r="B112" s="308" t="str">
        <f>IF(B30="","",0.5*24*B30/L5)</f>
        <v/>
      </c>
      <c r="C112" s="298" t="s">
        <v>536</v>
      </c>
      <c r="D112" s="298"/>
      <c r="E112" s="290"/>
      <c r="G112" s="254" t="s">
        <v>561</v>
      </c>
    </row>
    <row r="113" spans="1:5" x14ac:dyDescent="0.2">
      <c r="A113" s="299" t="s">
        <v>534</v>
      </c>
      <c r="B113" s="309" t="str">
        <f>IF(B31="","",0.5*24*B31/L6)</f>
        <v/>
      </c>
      <c r="C113" s="300" t="s">
        <v>537</v>
      </c>
      <c r="D113" s="300"/>
      <c r="E113" s="293"/>
    </row>
  </sheetData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Pict="0" r:id="rId5">
            <anchor moveWithCells="1">
              <from>
                <xdr:col>0</xdr:col>
                <xdr:colOff>238125</xdr:colOff>
                <xdr:row>42</xdr:row>
                <xdr:rowOff>57150</xdr:rowOff>
              </from>
              <to>
                <xdr:col>5</xdr:col>
                <xdr:colOff>0</xdr:colOff>
                <xdr:row>45</xdr:row>
                <xdr:rowOff>133350</xdr:rowOff>
              </to>
            </anchor>
          </objectPr>
        </oleObject>
      </mc:Choice>
      <mc:Fallback>
        <oleObject progId="Equation.3" shapeId="3074" r:id="rId4"/>
      </mc:Fallback>
    </mc:AlternateContent>
    <mc:AlternateContent xmlns:mc="http://schemas.openxmlformats.org/markup-compatibility/2006">
      <mc:Choice Requires="x14">
        <oleObject progId="Equation.3" shapeId="3075" r:id="rId6">
          <objectPr defaultSize="0" autoPict="0" r:id="rId7">
            <anchor moveWithCells="1">
              <from>
                <xdr:col>1</xdr:col>
                <xdr:colOff>19050</xdr:colOff>
                <xdr:row>53</xdr:row>
                <xdr:rowOff>19050</xdr:rowOff>
              </from>
              <to>
                <xdr:col>5</xdr:col>
                <xdr:colOff>257175</xdr:colOff>
                <xdr:row>53</xdr:row>
                <xdr:rowOff>285750</xdr:rowOff>
              </to>
            </anchor>
          </objectPr>
        </oleObject>
      </mc:Choice>
      <mc:Fallback>
        <oleObject progId="Equation.3" shapeId="3075" r:id="rId6"/>
      </mc:Fallback>
    </mc:AlternateContent>
    <mc:AlternateContent xmlns:mc="http://schemas.openxmlformats.org/markup-compatibility/2006">
      <mc:Choice Requires="x14">
        <oleObject progId="Equation.3" shapeId="3076" r:id="rId8">
          <objectPr defaultSize="0" autoPict="0" r:id="rId9">
            <anchor moveWithCells="1">
              <from>
                <xdr:col>1</xdr:col>
                <xdr:colOff>19050</xdr:colOff>
                <xdr:row>54</xdr:row>
                <xdr:rowOff>19050</xdr:rowOff>
              </from>
              <to>
                <xdr:col>3</xdr:col>
                <xdr:colOff>85725</xdr:colOff>
                <xdr:row>54</xdr:row>
                <xdr:rowOff>200025</xdr:rowOff>
              </to>
            </anchor>
          </objectPr>
        </oleObject>
      </mc:Choice>
      <mc:Fallback>
        <oleObject progId="Equation.3" shapeId="3076" r:id="rId8"/>
      </mc:Fallback>
    </mc:AlternateContent>
    <mc:AlternateContent xmlns:mc="http://schemas.openxmlformats.org/markup-compatibility/2006">
      <mc:Choice Requires="x14">
        <oleObject progId="Equation.3" shapeId="3077" r:id="rId10">
          <objectPr defaultSize="0" autoPict="0" r:id="rId11">
            <anchor moveWithCells="1">
              <from>
                <xdr:col>1</xdr:col>
                <xdr:colOff>19050</xdr:colOff>
                <xdr:row>55</xdr:row>
                <xdr:rowOff>19050</xdr:rowOff>
              </from>
              <to>
                <xdr:col>3</xdr:col>
                <xdr:colOff>38100</xdr:colOff>
                <xdr:row>55</xdr:row>
                <xdr:rowOff>209550</xdr:rowOff>
              </to>
            </anchor>
          </objectPr>
        </oleObject>
      </mc:Choice>
      <mc:Fallback>
        <oleObject progId="Equation.3" shapeId="3077" r:id="rId10"/>
      </mc:Fallback>
    </mc:AlternateContent>
    <mc:AlternateContent xmlns:mc="http://schemas.openxmlformats.org/markup-compatibility/2006">
      <mc:Choice Requires="x14">
        <oleObject progId="Equation.3" shapeId="3078" r:id="rId12">
          <objectPr defaultSize="0" autoPict="0" r:id="rId13">
            <anchor moveWithCells="1">
              <from>
                <xdr:col>0</xdr:col>
                <xdr:colOff>114300</xdr:colOff>
                <xdr:row>11</xdr:row>
                <xdr:rowOff>38100</xdr:rowOff>
              </from>
              <to>
                <xdr:col>6</xdr:col>
                <xdr:colOff>104775</xdr:colOff>
                <xdr:row>15</xdr:row>
                <xdr:rowOff>133350</xdr:rowOff>
              </to>
            </anchor>
          </objectPr>
        </oleObject>
      </mc:Choice>
      <mc:Fallback>
        <oleObject progId="Equation.3" shapeId="3078" r:id="rId12"/>
      </mc:Fallback>
    </mc:AlternateContent>
    <mc:AlternateContent xmlns:mc="http://schemas.openxmlformats.org/markup-compatibility/2006">
      <mc:Choice Requires="x14">
        <oleObject progId="Equation.3" shapeId="3079" r:id="rId14">
          <objectPr defaultSize="0" autoPict="0" r:id="rId15">
            <anchor moveWithCells="1">
              <from>
                <xdr:col>0</xdr:col>
                <xdr:colOff>238125</xdr:colOff>
                <xdr:row>42</xdr:row>
                <xdr:rowOff>57150</xdr:rowOff>
              </from>
              <to>
                <xdr:col>6</xdr:col>
                <xdr:colOff>19050</xdr:colOff>
                <xdr:row>45</xdr:row>
                <xdr:rowOff>133350</xdr:rowOff>
              </to>
            </anchor>
          </objectPr>
        </oleObject>
      </mc:Choice>
      <mc:Fallback>
        <oleObject progId="Equation.3" shapeId="3079" r:id="rId14"/>
      </mc:Fallback>
    </mc:AlternateContent>
    <mc:AlternateContent xmlns:mc="http://schemas.openxmlformats.org/markup-compatibility/2006">
      <mc:Choice Requires="x14">
        <oleObject progId="Equation.3" shapeId="3080" r:id="rId16">
          <objectPr defaultSize="0" autoPict="0" r:id="rId7">
            <anchor moveWithCells="1">
              <from>
                <xdr:col>1</xdr:col>
                <xdr:colOff>19050</xdr:colOff>
                <xdr:row>53</xdr:row>
                <xdr:rowOff>19050</xdr:rowOff>
              </from>
              <to>
                <xdr:col>5</xdr:col>
                <xdr:colOff>257175</xdr:colOff>
                <xdr:row>53</xdr:row>
                <xdr:rowOff>285750</xdr:rowOff>
              </to>
            </anchor>
          </objectPr>
        </oleObject>
      </mc:Choice>
      <mc:Fallback>
        <oleObject progId="Equation.3" shapeId="3080" r:id="rId16"/>
      </mc:Fallback>
    </mc:AlternateContent>
    <mc:AlternateContent xmlns:mc="http://schemas.openxmlformats.org/markup-compatibility/2006">
      <mc:Choice Requires="x14">
        <oleObject progId="Equation.3" shapeId="3081" r:id="rId17">
          <objectPr defaultSize="0" autoPict="0" r:id="rId9">
            <anchor moveWithCells="1">
              <from>
                <xdr:col>1</xdr:col>
                <xdr:colOff>19050</xdr:colOff>
                <xdr:row>54</xdr:row>
                <xdr:rowOff>19050</xdr:rowOff>
              </from>
              <to>
                <xdr:col>3</xdr:col>
                <xdr:colOff>85725</xdr:colOff>
                <xdr:row>54</xdr:row>
                <xdr:rowOff>200025</xdr:rowOff>
              </to>
            </anchor>
          </objectPr>
        </oleObject>
      </mc:Choice>
      <mc:Fallback>
        <oleObject progId="Equation.3" shapeId="3081" r:id="rId17"/>
      </mc:Fallback>
    </mc:AlternateContent>
    <mc:AlternateContent xmlns:mc="http://schemas.openxmlformats.org/markup-compatibility/2006">
      <mc:Choice Requires="x14">
        <oleObject progId="Equation.3" shapeId="3082" r:id="rId18">
          <objectPr defaultSize="0" autoPict="0" r:id="rId11">
            <anchor moveWithCells="1">
              <from>
                <xdr:col>1</xdr:col>
                <xdr:colOff>19050</xdr:colOff>
                <xdr:row>55</xdr:row>
                <xdr:rowOff>19050</xdr:rowOff>
              </from>
              <to>
                <xdr:col>3</xdr:col>
                <xdr:colOff>38100</xdr:colOff>
                <xdr:row>55</xdr:row>
                <xdr:rowOff>209550</xdr:rowOff>
              </to>
            </anchor>
          </objectPr>
        </oleObject>
      </mc:Choice>
      <mc:Fallback>
        <oleObject progId="Equation.3" shapeId="3082" r:id="rId18"/>
      </mc:Fallback>
    </mc:AlternateContent>
    <mc:AlternateContent xmlns:mc="http://schemas.openxmlformats.org/markup-compatibility/2006">
      <mc:Choice Requires="x14">
        <oleObject progId="Equation.3" shapeId="3084" r:id="rId19">
          <objectPr defaultSize="0" autoPict="0" r:id="rId20">
            <anchor moveWithCells="1">
              <from>
                <xdr:col>0</xdr:col>
                <xdr:colOff>28575</xdr:colOff>
                <xdr:row>78</xdr:row>
                <xdr:rowOff>47625</xdr:rowOff>
              </from>
              <to>
                <xdr:col>6</xdr:col>
                <xdr:colOff>200025</xdr:colOff>
                <xdr:row>79</xdr:row>
                <xdr:rowOff>95250</xdr:rowOff>
              </to>
            </anchor>
          </objectPr>
        </oleObject>
      </mc:Choice>
      <mc:Fallback>
        <oleObject progId="Equation.3" shapeId="3084" r:id="rId19"/>
      </mc:Fallback>
    </mc:AlternateContent>
    <mc:AlternateContent xmlns:mc="http://schemas.openxmlformats.org/markup-compatibility/2006">
      <mc:Choice Requires="x14">
        <oleObject progId="Equation.3" shapeId="3085" r:id="rId21">
          <objectPr defaultSize="0" autoPict="0" r:id="rId22">
            <anchor moveWithCells="1">
              <from>
                <xdr:col>0</xdr:col>
                <xdr:colOff>95250</xdr:colOff>
                <xdr:row>83</xdr:row>
                <xdr:rowOff>19050</xdr:rowOff>
              </from>
              <to>
                <xdr:col>4</xdr:col>
                <xdr:colOff>295275</xdr:colOff>
                <xdr:row>84</xdr:row>
                <xdr:rowOff>95250</xdr:rowOff>
              </to>
            </anchor>
          </objectPr>
        </oleObject>
      </mc:Choice>
      <mc:Fallback>
        <oleObject progId="Equation.3" shapeId="3085" r:id="rId21"/>
      </mc:Fallback>
    </mc:AlternateContent>
    <mc:AlternateContent xmlns:mc="http://schemas.openxmlformats.org/markup-compatibility/2006">
      <mc:Choice Requires="x14">
        <oleObject progId="Equation.3" shapeId="3086" r:id="rId23">
          <objectPr defaultSize="0" autoPict="0" r:id="rId24">
            <anchor moveWithCells="1">
              <from>
                <xdr:col>0</xdr:col>
                <xdr:colOff>47625</xdr:colOff>
                <xdr:row>89</xdr:row>
                <xdr:rowOff>38100</xdr:rowOff>
              </from>
              <to>
                <xdr:col>3</xdr:col>
                <xdr:colOff>361950</xdr:colOff>
                <xdr:row>90</xdr:row>
                <xdr:rowOff>95250</xdr:rowOff>
              </to>
            </anchor>
          </objectPr>
        </oleObject>
      </mc:Choice>
      <mc:Fallback>
        <oleObject progId="Equation.3" shapeId="3086" r:id="rId23"/>
      </mc:Fallback>
    </mc:AlternateContent>
    <mc:AlternateContent xmlns:mc="http://schemas.openxmlformats.org/markup-compatibility/2006">
      <mc:Choice Requires="x14">
        <oleObject progId="Equation.3" shapeId="3087" r:id="rId25">
          <objectPr defaultSize="0" autoPict="0" r:id="rId26">
            <anchor moveWithCells="1">
              <from>
                <xdr:col>0</xdr:col>
                <xdr:colOff>95250</xdr:colOff>
                <xdr:row>97</xdr:row>
                <xdr:rowOff>38100</xdr:rowOff>
              </from>
              <to>
                <xdr:col>4</xdr:col>
                <xdr:colOff>9525</xdr:colOff>
                <xdr:row>100</xdr:row>
                <xdr:rowOff>57150</xdr:rowOff>
              </to>
            </anchor>
          </objectPr>
        </oleObject>
      </mc:Choice>
      <mc:Fallback>
        <oleObject progId="Equation.3" shapeId="3087" r:id="rId25"/>
      </mc:Fallback>
    </mc:AlternateContent>
    <mc:AlternateContent xmlns:mc="http://schemas.openxmlformats.org/markup-compatibility/2006">
      <mc:Choice Requires="x14">
        <oleObject progId="Equation.3" shapeId="3088" r:id="rId27">
          <objectPr defaultSize="0" autoPict="0" r:id="rId28">
            <anchor moveWithCells="1">
              <from>
                <xdr:col>0</xdr:col>
                <xdr:colOff>114300</xdr:colOff>
                <xdr:row>106</xdr:row>
                <xdr:rowOff>47625</xdr:rowOff>
              </from>
              <to>
                <xdr:col>3</xdr:col>
                <xdr:colOff>323850</xdr:colOff>
                <xdr:row>109</xdr:row>
                <xdr:rowOff>133350</xdr:rowOff>
              </to>
            </anchor>
          </objectPr>
        </oleObject>
      </mc:Choice>
      <mc:Fallback>
        <oleObject progId="Equation.3" shapeId="3088" r:id="rId27"/>
      </mc:Fallback>
    </mc:AlternateContent>
    <mc:AlternateContent xmlns:mc="http://schemas.openxmlformats.org/markup-compatibility/2006">
      <mc:Choice Requires="x14">
        <oleObject progId="Equation.3" shapeId="3089" r:id="rId29">
          <objectPr defaultSize="0" autoPict="0" r:id="rId20">
            <anchor moveWithCells="1">
              <from>
                <xdr:col>0</xdr:col>
                <xdr:colOff>38100</xdr:colOff>
                <xdr:row>52</xdr:row>
                <xdr:rowOff>38100</xdr:rowOff>
              </from>
              <to>
                <xdr:col>6</xdr:col>
                <xdr:colOff>209550</xdr:colOff>
                <xdr:row>52</xdr:row>
                <xdr:rowOff>238125</xdr:rowOff>
              </to>
            </anchor>
          </objectPr>
        </oleObject>
      </mc:Choice>
      <mc:Fallback>
        <oleObject progId="Equation.3" shapeId="3089" r:id="rId2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6"/>
  <sheetViews>
    <sheetView topLeftCell="C46" zoomScaleNormal="100" workbookViewId="0">
      <selection activeCell="F13" sqref="F13"/>
    </sheetView>
  </sheetViews>
  <sheetFormatPr defaultColWidth="9.140625" defaultRowHeight="14.25" x14ac:dyDescent="0.2"/>
  <cols>
    <col min="1" max="5" width="9.140625" style="254"/>
    <col min="6" max="6" width="74" style="265" customWidth="1"/>
    <col min="7" max="7" width="8.140625" style="265" customWidth="1"/>
    <col min="8" max="8" width="72.28515625" style="254" customWidth="1"/>
    <col min="9" max="9" width="7.28515625" style="254" customWidth="1"/>
    <col min="10" max="10" width="7.42578125" style="254" customWidth="1"/>
    <col min="11" max="11" width="6.28515625" style="261" customWidth="1"/>
    <col min="12" max="12" width="6.28515625" style="254" customWidth="1"/>
    <col min="13" max="13" width="50.140625" style="254" customWidth="1"/>
    <col min="14" max="16384" width="9.140625" style="254"/>
  </cols>
  <sheetData>
    <row r="3" spans="2:11" x14ac:dyDescent="0.2">
      <c r="B3" s="254" t="s">
        <v>628</v>
      </c>
      <c r="C3" s="254" t="s">
        <v>559</v>
      </c>
      <c r="D3" s="89" t="s">
        <v>511</v>
      </c>
      <c r="F3" s="265" t="s">
        <v>512</v>
      </c>
      <c r="H3" s="254" t="s">
        <v>513</v>
      </c>
    </row>
    <row r="4" spans="2:11" x14ac:dyDescent="0.2">
      <c r="B4" s="254">
        <f t="shared" ref="B4:B66" si="0">IF(E4="y",C4,"")</f>
        <v>1</v>
      </c>
      <c r="C4" s="254">
        <v>1</v>
      </c>
      <c r="D4" s="89"/>
      <c r="E4" s="190" t="s">
        <v>521</v>
      </c>
      <c r="F4" s="265" t="s">
        <v>665</v>
      </c>
      <c r="G4" s="265" t="s">
        <v>760</v>
      </c>
    </row>
    <row r="5" spans="2:11" x14ac:dyDescent="0.2">
      <c r="B5" s="315">
        <f t="shared" si="0"/>
        <v>2</v>
      </c>
      <c r="C5" s="254">
        <f>C4+1</f>
        <v>2</v>
      </c>
      <c r="D5" s="89" t="s">
        <v>514</v>
      </c>
      <c r="E5" s="190" t="str">
        <f>IF(AND('DU Computations-Hidden'!D572&lt;=1,'DU Computations-Hidden'!D572&gt;=0.915),"y","")</f>
        <v>y</v>
      </c>
      <c r="F5" s="265" t="s">
        <v>746</v>
      </c>
      <c r="G5" s="265">
        <v>1</v>
      </c>
      <c r="H5" s="254" t="s">
        <v>755</v>
      </c>
      <c r="K5" s="127"/>
    </row>
    <row r="6" spans="2:11" x14ac:dyDescent="0.2">
      <c r="B6" s="315" t="str">
        <f t="shared" si="0"/>
        <v/>
      </c>
      <c r="C6" s="254">
        <f t="shared" ref="C6:C68" si="1">C5+1</f>
        <v>3</v>
      </c>
      <c r="D6" s="89" t="s">
        <v>514</v>
      </c>
      <c r="E6" s="190" t="str">
        <f>IF(AND('DU Computations-Hidden'!D572&lt;0.915,'DU Computations-Hidden'!D572&gt;=0.875),"y","")</f>
        <v/>
      </c>
      <c r="F6" s="265" t="s">
        <v>747</v>
      </c>
      <c r="G6" s="265">
        <f>G5+1</f>
        <v>2</v>
      </c>
      <c r="H6" s="254" t="s">
        <v>756</v>
      </c>
      <c r="K6" s="127"/>
    </row>
    <row r="7" spans="2:11" x14ac:dyDescent="0.2">
      <c r="B7" s="315" t="str">
        <f t="shared" si="0"/>
        <v/>
      </c>
      <c r="C7" s="254">
        <f t="shared" si="1"/>
        <v>4</v>
      </c>
      <c r="D7" s="89" t="s">
        <v>514</v>
      </c>
      <c r="E7" s="190" t="str">
        <f>IF(AND('DU Computations-Hidden'!D572&lt;0.875,'DU Computations-Hidden'!D572&gt;=0.825),"y","")</f>
        <v/>
      </c>
      <c r="F7" s="265" t="s">
        <v>830</v>
      </c>
      <c r="G7" s="265">
        <f>G6+1</f>
        <v>3</v>
      </c>
      <c r="H7" s="254" t="s">
        <v>757</v>
      </c>
      <c r="K7" s="127"/>
    </row>
    <row r="8" spans="2:11" x14ac:dyDescent="0.2">
      <c r="B8" s="315" t="str">
        <f t="shared" si="0"/>
        <v/>
      </c>
      <c r="C8" s="254">
        <f t="shared" si="1"/>
        <v>5</v>
      </c>
      <c r="D8" s="89"/>
      <c r="E8" s="190" t="str">
        <f>IF(AND('DU Computations-Hidden'!D572&lt;0.825,'DU Computations-Hidden'!D572&gt;=0.745),"y","")</f>
        <v/>
      </c>
      <c r="F8" s="265" t="s">
        <v>831</v>
      </c>
      <c r="G8" s="265">
        <f>G7+1</f>
        <v>4</v>
      </c>
      <c r="H8" s="254" t="s">
        <v>758</v>
      </c>
      <c r="K8" s="127"/>
    </row>
    <row r="9" spans="2:11" x14ac:dyDescent="0.2">
      <c r="B9" s="315" t="str">
        <f t="shared" si="0"/>
        <v/>
      </c>
      <c r="C9" s="254">
        <f t="shared" si="1"/>
        <v>6</v>
      </c>
      <c r="D9" s="89" t="s">
        <v>514</v>
      </c>
      <c r="E9" s="190" t="str">
        <f>IF(AND('DU Computations-Hidden'!D572&lt;0.745,'DU Computations-Hidden'!D572&gt;=0),"y","")</f>
        <v/>
      </c>
      <c r="F9" s="265" t="s">
        <v>832</v>
      </c>
      <c r="G9" s="265">
        <f>G8+1</f>
        <v>5</v>
      </c>
      <c r="H9" s="254" t="s">
        <v>759</v>
      </c>
      <c r="K9" s="127"/>
    </row>
    <row r="10" spans="2:11" x14ac:dyDescent="0.2">
      <c r="B10" s="315" t="str">
        <f t="shared" si="0"/>
        <v/>
      </c>
      <c r="C10" s="254">
        <f t="shared" si="1"/>
        <v>7</v>
      </c>
      <c r="D10" s="89"/>
      <c r="E10" s="190" t="str">
        <f>E11</f>
        <v/>
      </c>
      <c r="F10" s="265" t="s">
        <v>850</v>
      </c>
    </row>
    <row r="11" spans="2:11" x14ac:dyDescent="0.2">
      <c r="B11" s="317" t="str">
        <f t="shared" si="0"/>
        <v/>
      </c>
      <c r="C11" s="317">
        <f>C10+1</f>
        <v>8</v>
      </c>
      <c r="D11" s="89"/>
      <c r="E11" s="190" t="str">
        <f>IF(COUNTIF(E12:E27,"y")&gt;0,"y","")</f>
        <v/>
      </c>
      <c r="F11" s="265" t="s">
        <v>748</v>
      </c>
      <c r="H11" s="254" t="s">
        <v>806</v>
      </c>
    </row>
    <row r="12" spans="2:11" x14ac:dyDescent="0.2">
      <c r="B12" s="317" t="str">
        <f t="shared" si="0"/>
        <v/>
      </c>
      <c r="C12" s="317">
        <f>C11+1</f>
        <v>9</v>
      </c>
      <c r="D12" s="89"/>
      <c r="E12" s="190" t="str">
        <f>IF(AND('Other Computations-Hidden'!C180="y",'DU Computations-Hidden'!I142&lt;&gt;3),"y","")</f>
        <v/>
      </c>
      <c r="F12" s="265" t="s">
        <v>783</v>
      </c>
      <c r="H12" s="316" t="s">
        <v>847</v>
      </c>
    </row>
    <row r="13" spans="2:11" s="315" customFormat="1" x14ac:dyDescent="0.2">
      <c r="B13" s="317" t="str">
        <f t="shared" si="0"/>
        <v/>
      </c>
      <c r="C13" s="317">
        <f t="shared" si="1"/>
        <v>10</v>
      </c>
      <c r="D13" s="89"/>
      <c r="E13" s="190" t="str">
        <f>IF(COUNTIF(E14:E17,"y")&gt;0,"y","")</f>
        <v/>
      </c>
      <c r="F13" s="265" t="s">
        <v>853</v>
      </c>
      <c r="G13" s="265"/>
      <c r="H13" s="315" t="s">
        <v>834</v>
      </c>
      <c r="K13" s="261"/>
    </row>
    <row r="14" spans="2:11" x14ac:dyDescent="0.2">
      <c r="B14" s="317" t="str">
        <f t="shared" si="0"/>
        <v/>
      </c>
      <c r="C14" s="317">
        <f t="shared" si="1"/>
        <v>11</v>
      </c>
      <c r="D14" s="89"/>
      <c r="E14" s="190" t="str">
        <f>IF(AND(E12="y",Data!G143=3),"y","")</f>
        <v/>
      </c>
      <c r="F14" s="265" t="s">
        <v>784</v>
      </c>
      <c r="G14" s="265">
        <f>G9+1</f>
        <v>6</v>
      </c>
      <c r="H14" s="315" t="s">
        <v>819</v>
      </c>
    </row>
    <row r="15" spans="2:11" s="315" customFormat="1" x14ac:dyDescent="0.2">
      <c r="B15" s="317" t="str">
        <f t="shared" si="0"/>
        <v/>
      </c>
      <c r="C15" s="317">
        <f t="shared" si="1"/>
        <v>12</v>
      </c>
      <c r="D15" s="89"/>
      <c r="E15" s="190" t="str">
        <f>E14</f>
        <v/>
      </c>
      <c r="F15" s="265" t="s">
        <v>703</v>
      </c>
      <c r="G15" s="265"/>
      <c r="H15" s="315" t="s">
        <v>835</v>
      </c>
      <c r="K15" s="261"/>
    </row>
    <row r="16" spans="2:11" x14ac:dyDescent="0.2">
      <c r="B16" s="317" t="str">
        <f t="shared" si="0"/>
        <v/>
      </c>
      <c r="C16" s="317">
        <f t="shared" si="1"/>
        <v>13</v>
      </c>
      <c r="D16" s="89"/>
      <c r="E16" s="190" t="str">
        <f>IF(AND(E12="y",Data!G143=2),"y","")</f>
        <v/>
      </c>
      <c r="F16" s="265" t="s">
        <v>785</v>
      </c>
      <c r="G16" s="265">
        <f>G14+1</f>
        <v>7</v>
      </c>
      <c r="H16" s="315" t="s">
        <v>836</v>
      </c>
    </row>
    <row r="17" spans="2:12" s="315" customFormat="1" x14ac:dyDescent="0.2">
      <c r="B17" s="317" t="str">
        <f t="shared" si="0"/>
        <v/>
      </c>
      <c r="C17" s="315">
        <f t="shared" si="1"/>
        <v>14</v>
      </c>
      <c r="D17" s="89"/>
      <c r="E17" s="190" t="str">
        <f>E16</f>
        <v/>
      </c>
      <c r="F17" s="265" t="s">
        <v>703</v>
      </c>
      <c r="G17" s="265"/>
      <c r="H17" s="315" t="s">
        <v>837</v>
      </c>
      <c r="K17" s="261"/>
    </row>
    <row r="18" spans="2:12" x14ac:dyDescent="0.2">
      <c r="B18" s="317" t="str">
        <f t="shared" si="0"/>
        <v/>
      </c>
      <c r="C18" s="315">
        <f t="shared" si="1"/>
        <v>15</v>
      </c>
      <c r="D18" s="89"/>
      <c r="E18" s="190" t="str">
        <f>IF('Other Computations-Hidden'!E170="y","y","")</f>
        <v/>
      </c>
      <c r="F18" s="130" t="s">
        <v>752</v>
      </c>
      <c r="G18" s="130"/>
      <c r="H18" s="90" t="s">
        <v>846</v>
      </c>
    </row>
    <row r="19" spans="2:12" x14ac:dyDescent="0.2">
      <c r="B19" s="317" t="str">
        <f t="shared" si="0"/>
        <v/>
      </c>
      <c r="C19" s="315">
        <f t="shared" si="1"/>
        <v>16</v>
      </c>
      <c r="D19" s="89"/>
      <c r="E19" s="190" t="str">
        <f>IF(COUNTIF(E20:E25,"y")&gt;0,"y","")</f>
        <v/>
      </c>
      <c r="F19" s="130" t="s">
        <v>853</v>
      </c>
      <c r="G19" s="130"/>
      <c r="H19" s="90" t="s">
        <v>824</v>
      </c>
    </row>
    <row r="20" spans="2:12" x14ac:dyDescent="0.2">
      <c r="B20" s="317" t="str">
        <f t="shared" si="0"/>
        <v/>
      </c>
      <c r="C20" s="315">
        <f t="shared" si="1"/>
        <v>17</v>
      </c>
      <c r="D20" s="89"/>
      <c r="E20" s="190" t="str">
        <f>IF(AND(E18="y",Data!G148=3),"y","")</f>
        <v/>
      </c>
      <c r="F20" s="130" t="s">
        <v>750</v>
      </c>
      <c r="G20" s="130">
        <f>G16+1</f>
        <v>8</v>
      </c>
      <c r="H20" s="90" t="s">
        <v>819</v>
      </c>
    </row>
    <row r="21" spans="2:12" x14ac:dyDescent="0.2">
      <c r="B21" s="315" t="str">
        <f t="shared" si="0"/>
        <v/>
      </c>
      <c r="C21" s="315">
        <f t="shared" si="1"/>
        <v>18</v>
      </c>
      <c r="D21" s="89"/>
      <c r="E21" s="190" t="str">
        <f>E20</f>
        <v/>
      </c>
      <c r="F21" s="130" t="s">
        <v>703</v>
      </c>
      <c r="G21" s="130"/>
      <c r="H21" s="90" t="s">
        <v>820</v>
      </c>
    </row>
    <row r="22" spans="2:12" x14ac:dyDescent="0.2">
      <c r="B22" s="315" t="str">
        <f t="shared" si="0"/>
        <v/>
      </c>
      <c r="C22" s="315">
        <f t="shared" si="1"/>
        <v>19</v>
      </c>
      <c r="D22" s="89"/>
      <c r="E22" s="190" t="str">
        <f>IF(AND(E18="y",Data!G148=2),"y","")</f>
        <v/>
      </c>
      <c r="F22" s="130" t="s">
        <v>751</v>
      </c>
      <c r="G22" s="130">
        <f>G20+1</f>
        <v>9</v>
      </c>
      <c r="H22" s="90" t="s">
        <v>821</v>
      </c>
    </row>
    <row r="23" spans="2:12" x14ac:dyDescent="0.2">
      <c r="B23" s="315" t="str">
        <f t="shared" si="0"/>
        <v/>
      </c>
      <c r="C23" s="315">
        <f t="shared" si="1"/>
        <v>20</v>
      </c>
      <c r="D23" s="89"/>
      <c r="E23" s="190" t="str">
        <f>IF(AND(E18="y",Data!G148=2),"y","")</f>
        <v/>
      </c>
      <c r="F23" s="130" t="s">
        <v>751</v>
      </c>
      <c r="G23" s="130">
        <f>G22+1</f>
        <v>10</v>
      </c>
      <c r="H23" s="90" t="s">
        <v>822</v>
      </c>
    </row>
    <row r="24" spans="2:12" x14ac:dyDescent="0.2">
      <c r="B24" s="315" t="str">
        <f t="shared" si="0"/>
        <v/>
      </c>
      <c r="C24" s="315">
        <f t="shared" si="1"/>
        <v>21</v>
      </c>
      <c r="D24" s="89"/>
      <c r="E24" s="190" t="str">
        <f>IF(AND(E18="y",MAX(Data!E244:E248)&gt;=0.5),"y","")</f>
        <v/>
      </c>
      <c r="F24" s="130" t="s">
        <v>753</v>
      </c>
      <c r="G24" s="130">
        <f>G23+1</f>
        <v>11</v>
      </c>
      <c r="H24" s="90" t="s">
        <v>823</v>
      </c>
    </row>
    <row r="25" spans="2:12" x14ac:dyDescent="0.2">
      <c r="B25" s="315" t="str">
        <f t="shared" si="0"/>
        <v/>
      </c>
      <c r="C25" s="315">
        <f t="shared" si="1"/>
        <v>22</v>
      </c>
      <c r="D25" s="89"/>
      <c r="E25" s="190" t="str">
        <f>E24</f>
        <v/>
      </c>
      <c r="F25" s="130" t="s">
        <v>703</v>
      </c>
      <c r="G25" s="130"/>
      <c r="H25" s="90" t="s">
        <v>827</v>
      </c>
    </row>
    <row r="26" spans="2:12" x14ac:dyDescent="0.2">
      <c r="B26" s="315" t="str">
        <f t="shared" si="0"/>
        <v/>
      </c>
      <c r="C26" s="254">
        <f t="shared" si="1"/>
        <v>23</v>
      </c>
      <c r="E26" s="190" t="str">
        <f>IF(AND(E18&lt;&gt;"y",MAX(Data!E244:E248)&gt;=0.5),"y","")</f>
        <v/>
      </c>
      <c r="F26" s="265" t="s">
        <v>754</v>
      </c>
      <c r="G26" s="265">
        <f>G24</f>
        <v>11</v>
      </c>
      <c r="H26" s="315" t="s">
        <v>833</v>
      </c>
    </row>
    <row r="27" spans="2:12" x14ac:dyDescent="0.2">
      <c r="B27" s="315" t="str">
        <f t="shared" si="0"/>
        <v/>
      </c>
      <c r="C27" s="254">
        <f t="shared" si="1"/>
        <v>24</v>
      </c>
      <c r="D27" s="89"/>
      <c r="E27" s="190" t="str">
        <f>IF(MIN(Data!E161:E165,Data!E167:E171,Data!E175:E179,Data!E181:E185,Data!E189:E193,Data!E195:E199,Data!E203:E207,Data!E209:E213,Data!E217:E221,Data!E223:E227,Data!E231:E235,Data!E237:E241)&lt;=3,"y","")</f>
        <v/>
      </c>
      <c r="F27" s="265" t="s">
        <v>727</v>
      </c>
      <c r="G27" s="265">
        <f>G26+1</f>
        <v>12</v>
      </c>
      <c r="H27" s="254" t="s">
        <v>794</v>
      </c>
    </row>
    <row r="28" spans="2:12" x14ac:dyDescent="0.2">
      <c r="B28" s="315">
        <f t="shared" si="0"/>
        <v>25</v>
      </c>
      <c r="C28" s="254">
        <f t="shared" si="1"/>
        <v>25</v>
      </c>
      <c r="D28" s="89"/>
      <c r="E28" s="190" t="str">
        <f>E29</f>
        <v>y</v>
      </c>
      <c r="F28" s="265" t="s">
        <v>849</v>
      </c>
    </row>
    <row r="29" spans="2:12" x14ac:dyDescent="0.2">
      <c r="B29" s="315">
        <f t="shared" si="0"/>
        <v>26</v>
      </c>
      <c r="C29" s="254">
        <f t="shared" si="1"/>
        <v>26</v>
      </c>
      <c r="D29" s="89"/>
      <c r="E29" s="190" t="str">
        <f>IF(COUNTIF(E30:E44,"y")&gt;0,"y","")</f>
        <v>y</v>
      </c>
      <c r="F29" s="265" t="s">
        <v>848</v>
      </c>
      <c r="H29" s="315" t="s">
        <v>749</v>
      </c>
      <c r="L29" s="260"/>
    </row>
    <row r="30" spans="2:12" x14ac:dyDescent="0.2">
      <c r="B30" s="315" t="str">
        <f t="shared" si="0"/>
        <v/>
      </c>
      <c r="C30" s="254">
        <f t="shared" si="1"/>
        <v>27</v>
      </c>
      <c r="D30" s="89"/>
      <c r="E30" s="190" t="str">
        <f>IF(Data!G553=3,"y","")</f>
        <v/>
      </c>
      <c r="F30" s="265" t="s">
        <v>734</v>
      </c>
      <c r="G30" s="265">
        <f>G27+1</f>
        <v>13</v>
      </c>
      <c r="H30" s="254" t="s">
        <v>795</v>
      </c>
      <c r="L30" s="260"/>
    </row>
    <row r="31" spans="2:12" x14ac:dyDescent="0.2">
      <c r="B31" s="315" t="str">
        <f t="shared" si="0"/>
        <v/>
      </c>
      <c r="C31" s="254">
        <f t="shared" si="1"/>
        <v>28</v>
      </c>
      <c r="D31" s="89"/>
      <c r="E31" s="190" t="str">
        <f>IF(Data!G553=4,"y","")</f>
        <v/>
      </c>
      <c r="F31" s="265" t="s">
        <v>735</v>
      </c>
      <c r="G31" s="265">
        <f>G30+1</f>
        <v>14</v>
      </c>
      <c r="H31" s="254" t="s">
        <v>796</v>
      </c>
      <c r="L31" s="260"/>
    </row>
    <row r="32" spans="2:12" x14ac:dyDescent="0.2">
      <c r="B32" s="315" t="str">
        <f t="shared" si="0"/>
        <v/>
      </c>
      <c r="C32" s="254">
        <f t="shared" si="1"/>
        <v>29</v>
      </c>
      <c r="D32" s="89"/>
      <c r="E32" s="190" t="str">
        <f>IF(Data!G553=5,"y","")</f>
        <v/>
      </c>
      <c r="F32" s="265" t="s">
        <v>736</v>
      </c>
      <c r="G32" s="265">
        <f>G31+1</f>
        <v>15</v>
      </c>
      <c r="H32" s="254" t="s">
        <v>797</v>
      </c>
      <c r="L32" s="260"/>
    </row>
    <row r="33" spans="2:12" s="90" customFormat="1" x14ac:dyDescent="0.2">
      <c r="B33" s="315" t="str">
        <f t="shared" si="0"/>
        <v/>
      </c>
      <c r="C33" s="254">
        <f t="shared" si="1"/>
        <v>30</v>
      </c>
      <c r="D33" s="262"/>
      <c r="F33" s="130" t="s">
        <v>739</v>
      </c>
      <c r="G33" s="130"/>
      <c r="K33" s="263"/>
      <c r="L33" s="264"/>
    </row>
    <row r="34" spans="2:12" s="90" customFormat="1" x14ac:dyDescent="0.2">
      <c r="B34" s="315">
        <f t="shared" si="0"/>
        <v>31</v>
      </c>
      <c r="C34" s="254">
        <f t="shared" si="1"/>
        <v>31</v>
      </c>
      <c r="D34" s="262"/>
      <c r="E34" s="190" t="str">
        <f>IF(AND('DU Computations-Hidden'!D568&gt;=0.96,OR(Data!G497&gt;2,Data!G503&gt;2,Data!G509&gt;2,Data!G517&gt;2,Data!G523&gt;2,Data!G529&gt;2,Data!G535&gt;2,Data!G541&gt;2,Data!G547&gt;2)),"y","")</f>
        <v>y</v>
      </c>
      <c r="F34" s="130" t="s">
        <v>738</v>
      </c>
      <c r="G34" s="130">
        <f>G32+1</f>
        <v>16</v>
      </c>
      <c r="H34" s="90" t="s">
        <v>798</v>
      </c>
      <c r="K34" s="263"/>
      <c r="L34" s="264"/>
    </row>
    <row r="35" spans="2:12" s="90" customFormat="1" x14ac:dyDescent="0.2">
      <c r="B35" s="315">
        <f t="shared" si="0"/>
        <v>32</v>
      </c>
      <c r="C35" s="254">
        <f t="shared" si="1"/>
        <v>32</v>
      </c>
      <c r="D35" s="262"/>
      <c r="E35" s="190" t="str">
        <f>IF(E34="y","y","")</f>
        <v>y</v>
      </c>
      <c r="F35" s="130" t="s">
        <v>703</v>
      </c>
      <c r="G35" s="130"/>
      <c r="H35" s="90" t="s">
        <v>786</v>
      </c>
      <c r="K35" s="263"/>
      <c r="L35" s="264"/>
    </row>
    <row r="36" spans="2:12" s="90" customFormat="1" x14ac:dyDescent="0.2">
      <c r="B36" s="315" t="str">
        <f t="shared" si="0"/>
        <v/>
      </c>
      <c r="C36" s="317">
        <f t="shared" si="1"/>
        <v>33</v>
      </c>
      <c r="D36" s="262"/>
      <c r="E36" s="190" t="str">
        <f>IF(AND('DU Computations-Hidden'!D568&lt;0.96,OR(Data!G497&gt;2,Data!G503&gt;2,Data!G509&gt;2,Data!G517&gt;2,Data!G523&gt;2,Data!G529&gt;2,Data!G535&gt;2,Data!G541&gt;2,Data!G547&gt;2)),"y","")</f>
        <v/>
      </c>
      <c r="F36" s="130" t="s">
        <v>737</v>
      </c>
      <c r="G36" s="130"/>
      <c r="H36" s="90" t="s">
        <v>845</v>
      </c>
      <c r="K36" s="263"/>
      <c r="L36" s="264"/>
    </row>
    <row r="37" spans="2:12" x14ac:dyDescent="0.2">
      <c r="B37" s="317" t="str">
        <f t="shared" ref="B37:B42" si="2">IF(E37="y",C37,"")</f>
        <v/>
      </c>
      <c r="C37" s="317">
        <f t="shared" si="1"/>
        <v>34</v>
      </c>
      <c r="D37" s="89"/>
      <c r="E37" s="190" t="str">
        <f>IF(COUNTIF(E38:E44,"y")&gt;0,"y","")</f>
        <v/>
      </c>
      <c r="F37" s="265" t="s">
        <v>853</v>
      </c>
      <c r="H37" s="254" t="s">
        <v>799</v>
      </c>
    </row>
    <row r="38" spans="2:12" x14ac:dyDescent="0.2">
      <c r="B38" s="317" t="str">
        <f t="shared" si="2"/>
        <v/>
      </c>
      <c r="C38" s="317">
        <f t="shared" si="1"/>
        <v>35</v>
      </c>
      <c r="D38" s="89"/>
      <c r="E38" s="190" t="str">
        <f>IF(AND(Data!G120&lt;5,Data!E494&gt;15,E36="y"),"y","")</f>
        <v/>
      </c>
      <c r="F38" s="265" t="s">
        <v>730</v>
      </c>
      <c r="G38" s="265">
        <f>G34+1</f>
        <v>17</v>
      </c>
      <c r="H38" s="254" t="s">
        <v>800</v>
      </c>
    </row>
    <row r="39" spans="2:12" x14ac:dyDescent="0.2">
      <c r="B39" s="317" t="str">
        <f t="shared" si="2"/>
        <v/>
      </c>
      <c r="C39" s="315">
        <f t="shared" si="1"/>
        <v>36</v>
      </c>
      <c r="D39" s="89"/>
      <c r="E39" s="190" t="str">
        <f>IF(AND(E36="y",Data!G523&gt;2),"y","")</f>
        <v/>
      </c>
      <c r="F39" s="265" t="s">
        <v>733</v>
      </c>
      <c r="G39" s="265">
        <f>G38+1</f>
        <v>18</v>
      </c>
      <c r="H39" s="254" t="s">
        <v>817</v>
      </c>
    </row>
    <row r="40" spans="2:12" x14ac:dyDescent="0.2">
      <c r="B40" s="317" t="str">
        <f t="shared" si="2"/>
        <v/>
      </c>
      <c r="C40" s="315">
        <f t="shared" si="1"/>
        <v>37</v>
      </c>
      <c r="D40" s="89"/>
      <c r="E40" s="190" t="str">
        <f>E39</f>
        <v/>
      </c>
      <c r="F40" s="265" t="s">
        <v>703</v>
      </c>
      <c r="H40" s="254" t="s">
        <v>818</v>
      </c>
    </row>
    <row r="41" spans="2:12" x14ac:dyDescent="0.2">
      <c r="B41" s="317" t="str">
        <f t="shared" si="2"/>
        <v/>
      </c>
      <c r="C41" s="315">
        <f t="shared" si="1"/>
        <v>38</v>
      </c>
      <c r="D41" s="89"/>
      <c r="E41" s="190" t="str">
        <f>IF(AND(E36="y",Data!G103&lt;5),"y","")</f>
        <v/>
      </c>
      <c r="F41" s="265" t="s">
        <v>731</v>
      </c>
      <c r="G41" s="265">
        <f>G39+1</f>
        <v>19</v>
      </c>
      <c r="H41" s="254" t="s">
        <v>801</v>
      </c>
    </row>
    <row r="42" spans="2:12" x14ac:dyDescent="0.2">
      <c r="B42" s="315" t="str">
        <f t="shared" si="2"/>
        <v/>
      </c>
      <c r="C42" s="315">
        <f t="shared" si="1"/>
        <v>39</v>
      </c>
      <c r="D42" s="89"/>
      <c r="E42" s="190" t="str">
        <f>IF(AND(E36="y",Data!G103=5,Data!G523&gt;2,Data!G109&lt;5),"y","")</f>
        <v/>
      </c>
      <c r="F42" s="265" t="s">
        <v>732</v>
      </c>
      <c r="G42" s="265">
        <f>G41+1</f>
        <v>20</v>
      </c>
      <c r="H42" s="254" t="s">
        <v>807</v>
      </c>
    </row>
    <row r="43" spans="2:12" x14ac:dyDescent="0.2">
      <c r="B43" s="315" t="str">
        <f t="shared" si="0"/>
        <v/>
      </c>
      <c r="C43" s="315">
        <f t="shared" si="1"/>
        <v>40</v>
      </c>
      <c r="D43" s="89"/>
      <c r="E43" s="190" t="str">
        <f>IF(E42="y","y","")</f>
        <v/>
      </c>
      <c r="F43" s="265" t="s">
        <v>703</v>
      </c>
      <c r="H43" s="254" t="s">
        <v>808</v>
      </c>
    </row>
    <row r="44" spans="2:12" x14ac:dyDescent="0.2">
      <c r="B44" s="315" t="str">
        <f t="shared" si="0"/>
        <v/>
      </c>
      <c r="C44" s="315">
        <f t="shared" si="1"/>
        <v>41</v>
      </c>
      <c r="D44" s="89"/>
      <c r="E44" s="190" t="str">
        <f>IF(AND(E36="y",Data!G53=3,Data!G62=3),"y","")</f>
        <v/>
      </c>
      <c r="F44" s="265" t="s">
        <v>761</v>
      </c>
      <c r="G44" s="265">
        <f>G42+1</f>
        <v>21</v>
      </c>
      <c r="H44" s="254" t="s">
        <v>802</v>
      </c>
    </row>
    <row r="45" spans="2:12" s="255" customFormat="1" x14ac:dyDescent="0.2">
      <c r="B45" s="315" t="str">
        <f t="shared" si="0"/>
        <v/>
      </c>
      <c r="C45" s="315">
        <f t="shared" si="1"/>
        <v>42</v>
      </c>
      <c r="D45" s="89"/>
      <c r="E45" s="190" t="str">
        <f>E46</f>
        <v/>
      </c>
      <c r="F45" s="265" t="s">
        <v>838</v>
      </c>
      <c r="G45" s="265"/>
      <c r="K45" s="261"/>
    </row>
    <row r="46" spans="2:12" s="255" customFormat="1" x14ac:dyDescent="0.2">
      <c r="B46" s="315" t="str">
        <f t="shared" si="0"/>
        <v/>
      </c>
      <c r="C46" s="315">
        <f t="shared" si="1"/>
        <v>43</v>
      </c>
      <c r="D46" s="89"/>
      <c r="E46" s="190" t="str">
        <f>E47</f>
        <v/>
      </c>
      <c r="F46" s="265" t="s">
        <v>838</v>
      </c>
      <c r="G46" s="265"/>
      <c r="H46" s="255" t="s">
        <v>828</v>
      </c>
      <c r="K46" s="261"/>
    </row>
    <row r="47" spans="2:12" s="255" customFormat="1" x14ac:dyDescent="0.2">
      <c r="B47" s="315" t="str">
        <f t="shared" si="0"/>
        <v/>
      </c>
      <c r="C47" s="315">
        <f t="shared" si="1"/>
        <v>44</v>
      </c>
      <c r="D47" s="89"/>
      <c r="E47" s="190" t="str">
        <f>IF('DU Computations-Hidden'!D569&lt;0.98,"y","")</f>
        <v/>
      </c>
      <c r="F47" s="265" t="s">
        <v>839</v>
      </c>
      <c r="G47" s="265">
        <f>G44+1</f>
        <v>22</v>
      </c>
      <c r="H47" s="255" t="s">
        <v>829</v>
      </c>
      <c r="K47" s="261"/>
    </row>
    <row r="48" spans="2:12" s="255" customFormat="1" x14ac:dyDescent="0.2">
      <c r="B48" s="315" t="str">
        <f t="shared" si="0"/>
        <v/>
      </c>
      <c r="C48" s="315">
        <f t="shared" si="1"/>
        <v>45</v>
      </c>
      <c r="D48" s="89"/>
      <c r="E48" s="190" t="str">
        <f>E47</f>
        <v/>
      </c>
      <c r="F48" s="265" t="s">
        <v>703</v>
      </c>
      <c r="G48" s="265"/>
      <c r="H48" s="315" t="s">
        <v>843</v>
      </c>
      <c r="K48" s="261"/>
    </row>
    <row r="49" spans="2:8" x14ac:dyDescent="0.2">
      <c r="B49" s="315" t="str">
        <f t="shared" si="0"/>
        <v/>
      </c>
      <c r="C49" s="315">
        <f t="shared" si="1"/>
        <v>46</v>
      </c>
      <c r="D49" s="89"/>
      <c r="E49" s="190" t="str">
        <f>E50</f>
        <v/>
      </c>
      <c r="F49" s="265" t="s">
        <v>852</v>
      </c>
    </row>
    <row r="50" spans="2:8" x14ac:dyDescent="0.2">
      <c r="B50" s="315" t="str">
        <f t="shared" si="0"/>
        <v/>
      </c>
      <c r="C50" s="315">
        <f t="shared" si="1"/>
        <v>47</v>
      </c>
      <c r="D50" s="89"/>
      <c r="E50" s="190" t="str">
        <f>IF(COUNTIF(E51:E53,"y")&gt;0,"y","")</f>
        <v/>
      </c>
      <c r="F50" s="265" t="s">
        <v>853</v>
      </c>
      <c r="H50" s="254" t="s">
        <v>787</v>
      </c>
    </row>
    <row r="51" spans="2:8" x14ac:dyDescent="0.2">
      <c r="B51" s="315" t="str">
        <f t="shared" si="0"/>
        <v/>
      </c>
      <c r="C51" s="315">
        <f t="shared" si="1"/>
        <v>48</v>
      </c>
      <c r="D51" s="89"/>
      <c r="E51" s="190" t="str">
        <f>IF('DU Computations-Hidden'!D570&lt;0.98,"y","")</f>
        <v/>
      </c>
      <c r="F51" s="265" t="s">
        <v>762</v>
      </c>
      <c r="G51" s="265">
        <f>G47+1</f>
        <v>23</v>
      </c>
      <c r="H51" s="254" t="s">
        <v>803</v>
      </c>
    </row>
    <row r="52" spans="2:8" x14ac:dyDescent="0.2">
      <c r="B52" s="315" t="str">
        <f t="shared" si="0"/>
        <v/>
      </c>
      <c r="C52" s="315">
        <f t="shared" si="1"/>
        <v>49</v>
      </c>
      <c r="D52" s="89"/>
      <c r="E52" s="190" t="str">
        <f>E51</f>
        <v/>
      </c>
      <c r="F52" s="265" t="s">
        <v>703</v>
      </c>
      <c r="H52" s="254" t="s">
        <v>804</v>
      </c>
    </row>
    <row r="53" spans="2:8" x14ac:dyDescent="0.2">
      <c r="B53" s="315" t="str">
        <f t="shared" si="0"/>
        <v/>
      </c>
      <c r="C53" s="315">
        <f t="shared" si="1"/>
        <v>50</v>
      </c>
      <c r="E53" s="190" t="str">
        <f>IF(Data!E24&gt;0,"y","")</f>
        <v/>
      </c>
      <c r="F53" s="265" t="s">
        <v>725</v>
      </c>
      <c r="G53" s="265">
        <f>G51+1</f>
        <v>24</v>
      </c>
      <c r="H53" s="254" t="s">
        <v>805</v>
      </c>
    </row>
    <row r="54" spans="2:8" x14ac:dyDescent="0.2">
      <c r="B54" s="315">
        <f t="shared" si="0"/>
        <v>51</v>
      </c>
      <c r="C54" s="315">
        <f t="shared" si="1"/>
        <v>51</v>
      </c>
      <c r="D54" s="89"/>
      <c r="E54" s="190" t="str">
        <f>E55</f>
        <v>y</v>
      </c>
      <c r="F54" s="265" t="s">
        <v>851</v>
      </c>
    </row>
    <row r="55" spans="2:8" x14ac:dyDescent="0.2">
      <c r="B55" s="315">
        <f t="shared" si="0"/>
        <v>52</v>
      </c>
      <c r="C55" s="315">
        <f t="shared" si="1"/>
        <v>52</v>
      </c>
      <c r="E55" s="190" t="str">
        <f>IF(COUNTIF(E56:E68,"y")&gt;0,"y","")</f>
        <v>y</v>
      </c>
      <c r="F55" s="265" t="s">
        <v>717</v>
      </c>
      <c r="H55" s="255" t="s">
        <v>825</v>
      </c>
    </row>
    <row r="56" spans="2:8" x14ac:dyDescent="0.2">
      <c r="B56" s="315" t="str">
        <f t="shared" si="0"/>
        <v/>
      </c>
      <c r="C56" s="315">
        <f t="shared" si="1"/>
        <v>53</v>
      </c>
      <c r="E56" s="190" t="str">
        <f>IF(Data!E25&gt;1,"y","")</f>
        <v/>
      </c>
      <c r="F56" s="265" t="s">
        <v>763</v>
      </c>
      <c r="G56" s="265">
        <f>G53+1</f>
        <v>25</v>
      </c>
      <c r="H56" s="255" t="s">
        <v>826</v>
      </c>
    </row>
    <row r="57" spans="2:8" x14ac:dyDescent="0.2">
      <c r="B57" s="315" t="str">
        <f t="shared" si="0"/>
        <v/>
      </c>
      <c r="C57" s="315">
        <f t="shared" si="1"/>
        <v>54</v>
      </c>
      <c r="E57" s="190" t="str">
        <f>E56</f>
        <v/>
      </c>
      <c r="F57" s="265" t="s">
        <v>703</v>
      </c>
      <c r="H57" s="254" t="s">
        <v>813</v>
      </c>
    </row>
    <row r="58" spans="2:8" x14ac:dyDescent="0.2">
      <c r="B58" s="315" t="str">
        <f t="shared" si="0"/>
        <v/>
      </c>
      <c r="C58" s="315">
        <f t="shared" si="1"/>
        <v>55</v>
      </c>
      <c r="E58" s="190" t="str">
        <f>IF(Data!G138=2,"y","")</f>
        <v/>
      </c>
      <c r="F58" s="265" t="s">
        <v>711</v>
      </c>
      <c r="G58" s="265">
        <f>G56+1</f>
        <v>26</v>
      </c>
      <c r="H58" s="254" t="s">
        <v>809</v>
      </c>
    </row>
    <row r="59" spans="2:8" x14ac:dyDescent="0.2">
      <c r="B59" s="315" t="str">
        <f t="shared" si="0"/>
        <v/>
      </c>
      <c r="C59" s="315">
        <f t="shared" si="1"/>
        <v>56</v>
      </c>
      <c r="E59" s="190" t="str">
        <f>IF(Data!G83=3,"y","")</f>
        <v/>
      </c>
      <c r="F59" s="265" t="s">
        <v>713</v>
      </c>
      <c r="G59" s="265">
        <f>G58+1</f>
        <v>27</v>
      </c>
      <c r="H59" s="254" t="s">
        <v>810</v>
      </c>
    </row>
    <row r="60" spans="2:8" x14ac:dyDescent="0.2">
      <c r="B60" s="315" t="str">
        <f t="shared" si="0"/>
        <v/>
      </c>
      <c r="C60" s="315">
        <f t="shared" si="1"/>
        <v>57</v>
      </c>
      <c r="E60" s="190" t="str">
        <f>IF(Data!G98=3,"y","")</f>
        <v/>
      </c>
      <c r="F60" s="265" t="s">
        <v>714</v>
      </c>
      <c r="G60" s="265">
        <f t="shared" ref="G60:G61" si="3">G59+1</f>
        <v>28</v>
      </c>
      <c r="H60" s="254" t="s">
        <v>811</v>
      </c>
    </row>
    <row r="61" spans="2:8" x14ac:dyDescent="0.2">
      <c r="B61" s="315" t="str">
        <f t="shared" si="0"/>
        <v/>
      </c>
      <c r="C61" s="315">
        <f t="shared" si="1"/>
        <v>58</v>
      </c>
      <c r="E61" s="190" t="str">
        <f>IF(Data!G116=2,"y","")</f>
        <v/>
      </c>
      <c r="F61" s="265" t="s">
        <v>712</v>
      </c>
      <c r="G61" s="265">
        <f t="shared" si="3"/>
        <v>29</v>
      </c>
      <c r="H61" s="254" t="s">
        <v>815</v>
      </c>
    </row>
    <row r="62" spans="2:8" x14ac:dyDescent="0.2">
      <c r="B62" s="315" t="str">
        <f t="shared" si="0"/>
        <v/>
      </c>
      <c r="C62" s="315">
        <f t="shared" si="1"/>
        <v>59</v>
      </c>
      <c r="E62" s="190" t="str">
        <f>E61</f>
        <v/>
      </c>
      <c r="F62" s="265" t="s">
        <v>703</v>
      </c>
      <c r="H62" s="254" t="s">
        <v>816</v>
      </c>
    </row>
    <row r="63" spans="2:8" x14ac:dyDescent="0.2">
      <c r="B63" s="315" t="str">
        <f t="shared" si="0"/>
        <v/>
      </c>
      <c r="C63" s="315">
        <f t="shared" si="1"/>
        <v>60</v>
      </c>
      <c r="E63" s="190" t="str">
        <f>IF(Data!G152=3,"y","")</f>
        <v/>
      </c>
      <c r="F63" s="265" t="s">
        <v>715</v>
      </c>
      <c r="G63" s="265">
        <f>G61+1</f>
        <v>30</v>
      </c>
      <c r="H63" s="254" t="s">
        <v>812</v>
      </c>
    </row>
    <row r="64" spans="2:8" x14ac:dyDescent="0.2">
      <c r="B64" s="315" t="str">
        <f t="shared" si="0"/>
        <v/>
      </c>
      <c r="C64" s="315">
        <f t="shared" si="1"/>
        <v>61</v>
      </c>
      <c r="E64" s="190" t="str">
        <f>IF('Other Computations-Hidden'!C39&gt;0,"y","")</f>
        <v/>
      </c>
      <c r="F64" s="265" t="s">
        <v>716</v>
      </c>
      <c r="G64" s="265">
        <f>G63+1</f>
        <v>31</v>
      </c>
      <c r="H64" s="316" t="s">
        <v>844</v>
      </c>
    </row>
    <row r="65" spans="2:14" s="315" customFormat="1" x14ac:dyDescent="0.2">
      <c r="C65" s="317">
        <f t="shared" si="1"/>
        <v>62</v>
      </c>
      <c r="E65" s="190" t="str">
        <f>IF(COUNTIF(E66:E67,"y")&gt;0,"y","")</f>
        <v/>
      </c>
      <c r="F65" s="265" t="s">
        <v>853</v>
      </c>
      <c r="G65" s="265"/>
      <c r="H65" s="315" t="s">
        <v>840</v>
      </c>
      <c r="K65" s="261"/>
    </row>
    <row r="66" spans="2:14" x14ac:dyDescent="0.2">
      <c r="B66" s="315" t="str">
        <f t="shared" si="0"/>
        <v/>
      </c>
      <c r="C66" s="317">
        <f t="shared" si="1"/>
        <v>63</v>
      </c>
      <c r="E66" s="190" t="str">
        <f>IF(Data!E131&gt;'Other Computations-Hidden'!C19,"y","")</f>
        <v/>
      </c>
      <c r="F66" s="265" t="s">
        <v>764</v>
      </c>
      <c r="G66" s="265">
        <f>G64+1</f>
        <v>32</v>
      </c>
      <c r="H66" s="315" t="s">
        <v>841</v>
      </c>
    </row>
    <row r="67" spans="2:14" x14ac:dyDescent="0.2">
      <c r="B67" s="315" t="str">
        <f t="shared" ref="B67:B73" si="4">IF(E67="y",C67,"")</f>
        <v/>
      </c>
      <c r="C67" s="315">
        <f t="shared" si="1"/>
        <v>64</v>
      </c>
      <c r="E67" s="190" t="str">
        <f>IF(Data!E132&gt;4,"y","")</f>
        <v/>
      </c>
      <c r="F67" s="265" t="s">
        <v>718</v>
      </c>
      <c r="G67" s="265">
        <f>G66+1</f>
        <v>33</v>
      </c>
      <c r="H67" s="315" t="s">
        <v>842</v>
      </c>
    </row>
    <row r="68" spans="2:14" x14ac:dyDescent="0.2">
      <c r="B68" s="315">
        <f t="shared" si="4"/>
        <v>65</v>
      </c>
      <c r="C68" s="315">
        <f t="shared" si="1"/>
        <v>65</v>
      </c>
      <c r="E68" s="190" t="str">
        <f>IF(MIN('Other Computations-Hidden'!C198,'Other Computations-Hidden'!E198,'Other Computations-Hidden'!G198)&lt;=30,"y","")</f>
        <v>y</v>
      </c>
      <c r="F68" s="265" t="s">
        <v>773</v>
      </c>
      <c r="G68" s="265">
        <f>G67+1</f>
        <v>34</v>
      </c>
      <c r="H68" s="315" t="s">
        <v>814</v>
      </c>
    </row>
    <row r="69" spans="2:14" x14ac:dyDescent="0.2">
      <c r="B69" s="315" t="str">
        <f t="shared" si="4"/>
        <v/>
      </c>
      <c r="C69" s="315"/>
    </row>
    <row r="70" spans="2:14" x14ac:dyDescent="0.2">
      <c r="B70" s="315" t="str">
        <f t="shared" si="4"/>
        <v/>
      </c>
      <c r="C70" s="315"/>
    </row>
    <row r="71" spans="2:14" x14ac:dyDescent="0.2">
      <c r="B71" s="315" t="str">
        <f t="shared" si="4"/>
        <v/>
      </c>
      <c r="C71" s="315"/>
    </row>
    <row r="72" spans="2:14" x14ac:dyDescent="0.2">
      <c r="B72" s="315" t="str">
        <f t="shared" si="4"/>
        <v/>
      </c>
    </row>
    <row r="73" spans="2:14" x14ac:dyDescent="0.2">
      <c r="B73" s="315" t="str">
        <f t="shared" si="4"/>
        <v/>
      </c>
    </row>
    <row r="77" spans="2:14" x14ac:dyDescent="0.2">
      <c r="B77" s="254" t="str">
        <f t="shared" ref="B77:B78" si="5">IF(E77="y",C77,"")</f>
        <v/>
      </c>
      <c r="D77" s="89"/>
      <c r="E77" s="190" t="str">
        <f>IF(AND('Other Computations-Hidden'!F90&lt;=0.06,'Other Computations-Hidden'!D136="",'Other Computations-Hidden'!D144=""),"y","")</f>
        <v/>
      </c>
      <c r="F77" s="265" t="s">
        <v>661</v>
      </c>
      <c r="M77" s="254" t="s">
        <v>621</v>
      </c>
    </row>
    <row r="78" spans="2:14" x14ac:dyDescent="0.2">
      <c r="B78" s="254" t="str">
        <f t="shared" si="5"/>
        <v/>
      </c>
      <c r="D78" s="89"/>
      <c r="E78" s="190" t="str">
        <f>IF(AND('Other Computations-Hidden'!F90&lt;=0.06,OR('Other Computations-Hidden'!D136="y",'Other Computations-Hidden'!D144="y")),"y","")</f>
        <v/>
      </c>
      <c r="F78" s="265" t="s">
        <v>662</v>
      </c>
      <c r="H78" s="254" t="s">
        <v>695</v>
      </c>
      <c r="M78" s="254" t="s">
        <v>608</v>
      </c>
      <c r="N78" s="254" t="s">
        <v>611</v>
      </c>
    </row>
    <row r="79" spans="2:14" x14ac:dyDescent="0.2">
      <c r="D79" s="89"/>
      <c r="E79" s="190" t="str">
        <f>IF(AND('Other Computations-Hidden'!F90&gt;=0.15,'Other Computations-Hidden'!D136="",'Other Computations-Hidden'!D144=""),"y","")</f>
        <v/>
      </c>
      <c r="F79" s="265" t="s">
        <v>660</v>
      </c>
      <c r="H79" s="254" t="s">
        <v>696</v>
      </c>
      <c r="M79" s="254" t="s">
        <v>614</v>
      </c>
    </row>
    <row r="80" spans="2:14" x14ac:dyDescent="0.2">
      <c r="D80" s="89"/>
      <c r="E80" s="190" t="str">
        <f>IF(AND('Other Computations-Hidden'!F90&gt;=0.15,OR('Other Computations-Hidden'!D136="y",'Other Computations-Hidden'!D144="y")),"y","")</f>
        <v/>
      </c>
      <c r="F80" s="265" t="s">
        <v>659</v>
      </c>
      <c r="H80" s="254" t="s">
        <v>697</v>
      </c>
      <c r="M80" s="254" t="s">
        <v>615</v>
      </c>
    </row>
    <row r="81" spans="4:14" x14ac:dyDescent="0.2">
      <c r="D81" s="89"/>
      <c r="E81" s="190" t="str">
        <f>IF(AND('Other Computations-Hidden'!F90&gt;=0.15,'Other Computations-Hidden'!D148="y",OR('Other Computations-Hidden'!D136="y",'Other Computations-Hidden'!D144="y")),"y","")</f>
        <v/>
      </c>
      <c r="F81" s="265" t="s">
        <v>658</v>
      </c>
      <c r="H81" s="254" t="s">
        <v>698</v>
      </c>
      <c r="M81" s="254" t="s">
        <v>620</v>
      </c>
      <c r="N81" s="254" t="s">
        <v>611</v>
      </c>
    </row>
    <row r="82" spans="4:14" x14ac:dyDescent="0.2">
      <c r="D82" s="89"/>
      <c r="E82" s="190" t="str">
        <f>IF(AND('Other Computations-Hidden'!F90&gt;=0.15,'Other Computations-Hidden'!D148="",OR('Other Computations-Hidden'!D136="y",'Other Computations-Hidden'!D144="y")),"y","")</f>
        <v/>
      </c>
      <c r="F82" s="265" t="s">
        <v>657</v>
      </c>
      <c r="H82" s="254" t="s">
        <v>699</v>
      </c>
      <c r="M82" s="254" t="s">
        <v>618</v>
      </c>
      <c r="N82" s="254" t="s">
        <v>611</v>
      </c>
    </row>
    <row r="83" spans="4:14" x14ac:dyDescent="0.2">
      <c r="D83" s="89"/>
      <c r="E83" s="190" t="str">
        <f>IF(AND(AND('Other Computations-Hidden'!F90&gt;0.06,'Other Computations-Hidden'!F90&lt;0.15),'Other Computations-Hidden'!D136="",'Other Computations-Hidden'!D144=""),"y","")</f>
        <v>y</v>
      </c>
      <c r="F83" s="265" t="s">
        <v>610</v>
      </c>
      <c r="H83" s="254" t="s">
        <v>700</v>
      </c>
      <c r="M83" s="254" t="s">
        <v>616</v>
      </c>
    </row>
    <row r="84" spans="4:14" x14ac:dyDescent="0.2">
      <c r="D84" s="89"/>
      <c r="E84" s="190" t="str">
        <f>IF(AND(AND('Other Computations-Hidden'!F90&gt;0.06,'Other Computations-Hidden'!F90&lt;0.15),'Other Computations-Hidden'!D148="y",OR('Other Computations-Hidden'!D136="y",'Other Computations-Hidden'!D144="y")),"y","")</f>
        <v/>
      </c>
      <c r="F84" s="265" t="s">
        <v>613</v>
      </c>
      <c r="H84" s="254" t="s">
        <v>697</v>
      </c>
      <c r="M84" s="254" t="s">
        <v>619</v>
      </c>
      <c r="N84" s="254" t="s">
        <v>611</v>
      </c>
    </row>
    <row r="85" spans="4:14" x14ac:dyDescent="0.2">
      <c r="D85" s="89"/>
      <c r="E85" s="190" t="str">
        <f>IF(AND(AND('Other Computations-Hidden'!F90&gt;0.06,'Other Computations-Hidden'!F90&lt;0.15),'Other Computations-Hidden'!D148="y",OR('Other Computations-Hidden'!D136="y",'Other Computations-Hidden'!D144="y")),"y","")</f>
        <v/>
      </c>
      <c r="F85" s="265" t="s">
        <v>703</v>
      </c>
      <c r="H85" s="254" t="s">
        <v>701</v>
      </c>
    </row>
    <row r="86" spans="4:14" x14ac:dyDescent="0.2">
      <c r="D86" s="89"/>
      <c r="E86" s="190" t="str">
        <f>IF(AND(AND('Other Computations-Hidden'!F90&gt;0.06,'Other Computations-Hidden'!F90&lt;0.15),'Other Computations-Hidden'!D148="",OR('Other Computations-Hidden'!D136="y",'Other Computations-Hidden'!D144="y")),"y","")</f>
        <v/>
      </c>
      <c r="F86" s="265" t="s">
        <v>612</v>
      </c>
      <c r="H86" s="265" t="s">
        <v>702</v>
      </c>
      <c r="I86" s="265"/>
      <c r="J86" s="265"/>
      <c r="M86" s="254" t="s">
        <v>617</v>
      </c>
      <c r="N86" s="254" t="s">
        <v>611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48"/>
  <sheetViews>
    <sheetView view="pageLayout" topLeftCell="B1" zoomScale="70" zoomScaleNormal="70" zoomScalePageLayoutView="70" workbookViewId="0">
      <selection activeCell="B30" sqref="B30"/>
    </sheetView>
  </sheetViews>
  <sheetFormatPr defaultRowHeight="15" x14ac:dyDescent="0.25"/>
  <cols>
    <col min="1" max="1" width="4.5703125" customWidth="1"/>
    <col min="2" max="2" width="68.28515625" style="219" customWidth="1"/>
    <col min="3" max="3" width="5.5703125" style="310" customWidth="1"/>
    <col min="4" max="4" width="5.7109375" style="314" customWidth="1"/>
    <col min="5" max="5" width="10.7109375" style="222" customWidth="1"/>
    <col min="6" max="6" width="11.42578125" customWidth="1"/>
    <col min="7" max="7" width="8.85546875" customWidth="1"/>
    <col min="10" max="10" width="23.42578125" customWidth="1"/>
    <col min="12" max="12" width="8.85546875" customWidth="1"/>
    <col min="14" max="14" width="8.5703125" customWidth="1"/>
    <col min="15" max="15" width="85.5703125" customWidth="1"/>
    <col min="16" max="16" width="4.140625" customWidth="1"/>
    <col min="17" max="17" width="2.85546875" customWidth="1"/>
  </cols>
  <sheetData>
    <row r="1" spans="1:17" s="167" customFormat="1" ht="18" customHeight="1" x14ac:dyDescent="0.25">
      <c r="A1" s="407" t="s">
        <v>774</v>
      </c>
      <c r="B1" s="407"/>
      <c r="C1" s="311"/>
      <c r="D1" s="312"/>
      <c r="E1" s="252"/>
      <c r="F1" s="407" t="s">
        <v>775</v>
      </c>
      <c r="G1" s="407"/>
      <c r="H1" s="407"/>
      <c r="I1" s="407"/>
      <c r="J1" s="407"/>
      <c r="N1" s="407" t="s">
        <v>776</v>
      </c>
      <c r="O1" s="407"/>
      <c r="P1" s="68"/>
      <c r="Q1" s="217"/>
    </row>
    <row r="2" spans="1:17" s="167" customFormat="1" ht="18" customHeight="1" x14ac:dyDescent="0.25">
      <c r="A2" s="22"/>
      <c r="B2" s="218"/>
      <c r="C2" s="29"/>
      <c r="D2" s="313"/>
      <c r="E2" s="252"/>
      <c r="F2" s="253"/>
      <c r="G2" s="253"/>
      <c r="H2" s="253"/>
      <c r="I2" s="253"/>
      <c r="J2" s="253"/>
      <c r="K2" s="251"/>
      <c r="L2" s="251"/>
      <c r="M2" s="251"/>
      <c r="N2" s="22"/>
      <c r="O2" s="188"/>
      <c r="P2" s="68"/>
      <c r="Q2" s="217"/>
    </row>
    <row r="3" spans="1:17" s="167" customFormat="1" ht="18" customHeight="1" x14ac:dyDescent="0.2">
      <c r="A3" s="22"/>
      <c r="B3" s="251" t="str">
        <f>IF(ISERROR(VLOOKUP(SMALL('Results-Hidden'!$B:$B,ROW(O4)-ROW($P$3)),Results,5,FALSE)),"",IF(ISBLANK(VLOOKUP(SMALL('Results-Hidden'!$B:$B,ROW(O4)-ROW($P$3)),Results,5,FALSE)),"",(VLOOKUP(SMALL('Results-Hidden'!$B:$B,ROW(O4)-ROW($P$3)),Results,5,FALSE))))</f>
        <v>GLOBAL SYSTEM DULQ . . . . . . . . . . . . . . . . . . . . . . . . . . . . . . . . . . . . . . . . . . . . . . . . . . . . . . . . . . . . . . . . . . . . . . . . . . . . . . . . .</v>
      </c>
      <c r="C3" s="29" t="str">
        <f>IF(ISERROR(VLOOKUP(SMALL('Results-Hidden'!$B:$B,ROW(P4)-ROW($P$3)),Results,6,FALSE)),"",IF(ISBLANK(VLOOKUP(SMALL('Results-Hidden'!$B:$B,ROW(P4)-ROW($P$3)),Results,6,FALSE)),"",(VLOOKUP(SMALL('Results-Hidden'!$B:$B,ROW(P4)-ROW($P$3)),Results,6,FALSE))))</f>
        <v/>
      </c>
      <c r="D3" s="313" t="str">
        <f>IF(ISERROR(VLOOKUP(SMALL('Results-Hidden'!$B:$B,ROW(P4)-ROW($P$3)),Results,7,FALSE)),"",IF(ISBLANK(VLOOKUP(SMALL('Results-Hidden'!$B:$B,ROW(P4)-ROW($P$3)),Results,7,FALSE)),"",(VLOOKUP(SMALL('Results-Hidden'!$B:$B,ROW(P4)-ROW($P$3)),Results,7,FALSE))))</f>
        <v/>
      </c>
      <c r="E3" s="216">
        <f>IF(ISERROR(VLOOKUP(SMALL('Results-Hidden'!$B:$B,ROW(P4)-ROW($P$3)),Results,8,FALSE)),"",IF(ISBLANK(VLOOKUP(SMALL('Results-Hidden'!$B:$B,ROW(P4)-ROW($P$3)),Results,8,FALSE)),"",(VLOOKUP(SMALL('Results-Hidden'!$B:$B,ROW(P4)-ROW($P$3)),Results,8,FALSE))))</f>
        <v>0.95758761936923342</v>
      </c>
      <c r="F3" s="64"/>
      <c r="J3" s="29" t="s">
        <v>548</v>
      </c>
      <c r="K3" s="29" t="s">
        <v>9</v>
      </c>
      <c r="L3" s="29" t="s">
        <v>10</v>
      </c>
      <c r="M3" s="29" t="s">
        <v>11</v>
      </c>
      <c r="N3" s="22" t="str">
        <f>IF(ISERROR(VLOOKUP(SMALL('Problems-hidden'!$B:$B,ROW(O4)-ROW($P$3)),ResultsTable,6,FALSE)),"",IF(ISBLANK(VLOOKUP(SMALL('Problems-hidden'!$B:$B,ROW(O4)-ROW($P$3)),ResultsTable,6,FALSE)),"",(VLOOKUP(SMALL('Problems-hidden'!$B:$B,ROW(O4)-ROW($P$3)),ResultsTable,6,FALSE))))</f>
        <v>Ref. #</v>
      </c>
      <c r="O3" s="252" t="str">
        <f>IF(ISERROR(VLOOKUP(SMALL('Problems-hidden'!$B:$B,ROW(O4)-ROW($P$3)),ResultsTable,7,FALSE)),"",IF(ISBLANK(VLOOKUP(SMALL('Problems-hidden'!$B:$B,ROW(O4)-ROW($P$3)),ResultsTable,7,FALSE)),"",(VLOOKUP(SMALL('Problems-hidden'!$B:$B,ROW(O4)-ROW($P$3)),ResultsTable,7,FALSE))))</f>
        <v/>
      </c>
      <c r="P3" s="29"/>
      <c r="Q3" s="252"/>
    </row>
    <row r="4" spans="1:17" s="167" customFormat="1" ht="18" customHeight="1" x14ac:dyDescent="0.2">
      <c r="A4" s="22"/>
      <c r="B4" s="251" t="str">
        <f>IF(ISERROR(VLOOKUP(SMALL('Results-Hidden'!$B:$B,ROW(O5)-ROW($P$3)),Results,5,FALSE)),"",IF(ISBLANK(VLOOKUP(SMALL('Results-Hidden'!$B:$B,ROW(O5)-ROW($P$3)),Results,5,FALSE)),"",(VLOOKUP(SMALL('Results-Hidden'!$B:$B,ROW(O5)-ROW($P$3)),Results,5,FALSE))))</f>
        <v>(Low Quarter Infiltrated / Average Infiltrated)</v>
      </c>
      <c r="C4" s="29" t="str">
        <f>IF(ISERROR(VLOOKUP(SMALL('Results-Hidden'!$B:$B,ROW(P5)-ROW($P$3)),Results,6,FALSE)),"",IF(ISBLANK(VLOOKUP(SMALL('Results-Hidden'!$B:$B,ROW(P5)-ROW($P$3)),Results,6,FALSE)),"",(VLOOKUP(SMALL('Results-Hidden'!$B:$B,ROW(P5)-ROW($P$3)),Results,6,FALSE))))</f>
        <v/>
      </c>
      <c r="D4" s="313" t="str">
        <f>IF(ISERROR(VLOOKUP(SMALL('Results-Hidden'!$B:$B,ROW(P5)-ROW($P$3)),Results,7,FALSE)),"",IF(ISBLANK(VLOOKUP(SMALL('Results-Hidden'!$B:$B,ROW(P5)-ROW($P$3)),Results,7,FALSE)),"",(VLOOKUP(SMALL('Results-Hidden'!$B:$B,ROW(P5)-ROW($P$3)),Results,7,FALSE))))</f>
        <v/>
      </c>
      <c r="E4" s="216" t="str">
        <f>IF(ISERROR(VLOOKUP(SMALL('Results-Hidden'!$B:$B,ROW(P5)-ROW($P$3)),Results,8,FALSE)),"",IF(ISBLANK(VLOOKUP(SMALL('Results-Hidden'!$B:$B,ROW(P5)-ROW($P$3)),Results,8,FALSE)),"",(VLOOKUP(SMALL('Results-Hidden'!$B:$B,ROW(P5)-ROW($P$3)),Results,8,FALSE))))</f>
        <v/>
      </c>
      <c r="F4" s="64"/>
      <c r="K4" s="29"/>
      <c r="L4" s="29"/>
      <c r="M4" s="29"/>
      <c r="N4" s="22">
        <f>IF(ISERROR(VLOOKUP(SMALL('Problems-hidden'!$B:$B,ROW(O5)-ROW($P$3)),ResultsTable,6,FALSE)),"",IF(ISBLANK(VLOOKUP(SMALL('Problems-hidden'!$B:$B,ROW(O5)-ROW($P$3)),ResultsTable,6,FALSE)),"",(VLOOKUP(SMALL('Problems-hidden'!$B:$B,ROW(O5)-ROW($P$3)),ResultsTable,6,FALSE))))</f>
        <v>1</v>
      </c>
      <c r="O4" s="252" t="str">
        <f>IF(ISERROR(VLOOKUP(SMALL('Problems-hidden'!$B:$B,ROW(O5)-ROW($P$3)),ResultsTable,7,FALSE)),"",IF(ISBLANK(VLOOKUP(SMALL('Problems-hidden'!$B:$B,ROW(O5)-ROW($P$3)),ResultsTable,7,FALSE)),"",(VLOOKUP(SMALL('Problems-hidden'!$B:$B,ROW(O5)-ROW($P$3)),ResultsTable,7,FALSE))))</f>
        <v>The field DU is considered excellent</v>
      </c>
      <c r="P4" s="29"/>
      <c r="Q4" s="252"/>
    </row>
    <row r="5" spans="1:17" s="167" customFormat="1" ht="18" customHeight="1" x14ac:dyDescent="0.2">
      <c r="A5" s="22"/>
      <c r="B5" s="251" t="str">
        <f>IF(ISERROR(VLOOKUP(SMALL('Results-Hidden'!$B:$B,ROW(O6)-ROW($P$3)),Results,5,FALSE)),"",IF(ISBLANK(VLOOKUP(SMALL('Results-Hidden'!$B:$B,ROW(O6)-ROW($P$3)),Results,5,FALSE)),"",(VLOOKUP(SMALL('Results-Hidden'!$B:$B,ROW(O6)-ROW($P$3)),Results,5,FALSE))))</f>
        <v/>
      </c>
      <c r="C5" s="29" t="str">
        <f>IF(ISERROR(VLOOKUP(SMALL('Results-Hidden'!$B:$B,ROW(P6)-ROW($P$3)),Results,6,FALSE)),"",IF(ISBLANK(VLOOKUP(SMALL('Results-Hidden'!$B:$B,ROW(P6)-ROW($P$3)),Results,6,FALSE)),"",(VLOOKUP(SMALL('Results-Hidden'!$B:$B,ROW(P6)-ROW($P$3)),Results,6,FALSE))))</f>
        <v/>
      </c>
      <c r="D5" s="313" t="str">
        <f>IF(ISERROR(VLOOKUP(SMALL('Results-Hidden'!$B:$B,ROW(P6)-ROW($P$3)),Results,7,FALSE)),"",IF(ISBLANK(VLOOKUP(SMALL('Results-Hidden'!$B:$B,ROW(P6)-ROW($P$3)),Results,7,FALSE)),"",(VLOOKUP(SMALL('Results-Hidden'!$B:$B,ROW(P6)-ROW($P$3)),Results,7,FALSE))))</f>
        <v/>
      </c>
      <c r="E5" s="259" t="str">
        <f>IF(ISERROR(VLOOKUP(SMALL('Results-Hidden'!$B:$B,ROW(P6)-ROW($P$3)),Results,8,FALSE)),"",IF(ISBLANK(VLOOKUP(SMALL('Results-Hidden'!$B:$B,ROW(P6)-ROW($P$3)),Results,8,FALSE)),"",(VLOOKUP(SMALL('Results-Hidden'!$B:$B,ROW(P6)-ROW($P$3)),Results,8,FALSE))))</f>
        <v/>
      </c>
      <c r="F5" s="64"/>
      <c r="G5" s="406" t="s">
        <v>549</v>
      </c>
      <c r="H5" s="406"/>
      <c r="I5" s="406"/>
      <c r="J5" s="406"/>
      <c r="K5" s="29">
        <f>'Scheduling-Hidden'!I4</f>
        <v>8.5</v>
      </c>
      <c r="L5" s="29" t="str">
        <f>'Scheduling-Hidden'!I5</f>
        <v/>
      </c>
      <c r="M5" s="29" t="str">
        <f>'Scheduling-Hidden'!I6</f>
        <v/>
      </c>
      <c r="N5" s="22" t="str">
        <f>IF(ISERROR(VLOOKUP(SMALL('Problems-hidden'!$B:$B,ROW(O6)-ROW($P$3)),ResultsTable,6,FALSE)),"",IF(ISBLANK(VLOOKUP(SMALL('Problems-hidden'!$B:$B,ROW(O6)-ROW($P$3)),ResultsTable,6,FALSE)),"",(VLOOKUP(SMALL('Problems-hidden'!$B:$B,ROW(O6)-ROW($P$3)),ResultsTable,6,FALSE))))</f>
        <v/>
      </c>
      <c r="O5" s="252" t="str">
        <f>IF(ISERROR(VLOOKUP(SMALL('Problems-hidden'!$B:$B,ROW(O6)-ROW($P$3)),ResultsTable,7,FALSE)),"",IF(ISBLANK(VLOOKUP(SMALL('Problems-hidden'!$B:$B,ROW(O6)-ROW($P$3)),ResultsTable,7,FALSE)),"",(VLOOKUP(SMALL('Problems-hidden'!$B:$B,ROW(O6)-ROW($P$3)),ResultsTable,7,FALSE))))</f>
        <v/>
      </c>
      <c r="P5" s="29"/>
      <c r="Q5" s="252"/>
    </row>
    <row r="6" spans="1:17" s="167" customFormat="1" ht="18" customHeight="1" x14ac:dyDescent="0.2">
      <c r="A6" s="22"/>
      <c r="B6" s="251" t="str">
        <f>IF(ISERROR(VLOOKUP(SMALL('Results-Hidden'!$B:$B,ROW(O7)-ROW($P$3)),Results,5,FALSE)),"",IF(ISBLANK(VLOOKUP(SMALL('Results-Hidden'!$B:$B,ROW(O7)-ROW($P$3)),Results,5,FALSE)),"",(VLOOKUP(SMALL('Results-Hidden'!$B:$B,ROW(O7)-ROW($P$3)),Results,5,FALSE))))</f>
        <v xml:space="preserve">DISTRIBUTION UNIFORMITY PROBLEMS - </v>
      </c>
      <c r="C6" s="29" t="str">
        <f>IF(ISERROR(VLOOKUP(SMALL('Results-Hidden'!$B:$B,ROW(P7)-ROW($P$3)),Results,6,FALSE)),"",IF(ISBLANK(VLOOKUP(SMALL('Results-Hidden'!$B:$B,ROW(P7)-ROW($P$3)),Results,6,FALSE)),"",(VLOOKUP(SMALL('Results-Hidden'!$B:$B,ROW(P7)-ROW($P$3)),Results,6,FALSE))))</f>
        <v/>
      </c>
      <c r="D6" s="313" t="str">
        <f>IF(ISERROR(VLOOKUP(SMALL('Results-Hidden'!$B:$B,ROW(P7)-ROW($P$3)),Results,7,FALSE)),"",IF(ISBLANK(VLOOKUP(SMALL('Results-Hidden'!$B:$B,ROW(P7)-ROW($P$3)),Results,7,FALSE)),"",(VLOOKUP(SMALL('Results-Hidden'!$B:$B,ROW(P7)-ROW($P$3)),Results,7,FALSE))))</f>
        <v/>
      </c>
      <c r="E6" s="259" t="str">
        <f>IF(ISERROR(VLOOKUP(SMALL('Results-Hidden'!$B:$B,ROW(P7)-ROW($P$3)),Results,8,FALSE)),"",IF(ISBLANK(VLOOKUP(SMALL('Results-Hidden'!$B:$B,ROW(P7)-ROW($P$3)),Results,8,FALSE)),"",(VLOOKUP(SMALL('Results-Hidden'!$B:$B,ROW(P7)-ROW($P$3)),Results,8,FALSE))))</f>
        <v/>
      </c>
      <c r="F6" s="64"/>
      <c r="G6" s="176" t="s">
        <v>552</v>
      </c>
      <c r="K6" s="181">
        <f>'Scheduling-Hidden'!B29</f>
        <v>1.2749999999999999</v>
      </c>
      <c r="L6" s="181" t="str">
        <f>'Scheduling-Hidden'!B30</f>
        <v/>
      </c>
      <c r="M6" s="181" t="str">
        <f>'Scheduling-Hidden'!B31</f>
        <v/>
      </c>
      <c r="N6" s="22" t="str">
        <f>IF(ISERROR(VLOOKUP(SMALL('Problems-hidden'!$B:$B,ROW(O7)-ROW($P$3)),ResultsTable,6,FALSE)),"",IF(ISBLANK(VLOOKUP(SMALL('Problems-hidden'!$B:$B,ROW(O7)-ROW($P$3)),ResultsTable,6,FALSE)),"",(VLOOKUP(SMALL('Problems-hidden'!$B:$B,ROW(O7)-ROW($P$3)),ResultsTable,6,FALSE))))</f>
        <v/>
      </c>
      <c r="O6" s="252" t="str">
        <f>IF(ISERROR(VLOOKUP(SMALL('Problems-hidden'!$B:$B,ROW(O7)-ROW($P$3)),ResultsTable,7,FALSE)),"",IF(ISBLANK(VLOOKUP(SMALL('Problems-hidden'!$B:$B,ROW(O7)-ROW($P$3)),ResultsTable,7,FALSE)),"",(VLOOKUP(SMALL('Problems-hidden'!$B:$B,ROW(O7)-ROW($P$3)),ResultsTable,7,FALSE))))</f>
        <v xml:space="preserve">      Other causes of flow variation</v>
      </c>
      <c r="P6" s="29"/>
      <c r="Q6" s="252"/>
    </row>
    <row r="7" spans="1:17" s="167" customFormat="1" ht="18" customHeight="1" x14ac:dyDescent="0.2">
      <c r="A7" s="22"/>
      <c r="B7" s="251" t="str">
        <f>IF(ISERROR(VLOOKUP(SMALL('Results-Hidden'!$B:$B,ROW(O8)-ROW($P$3)),Results,5,FALSE)),"",IF(ISBLANK(VLOOKUP(SMALL('Results-Hidden'!$B:$B,ROW(O8)-ROW($P$3)),Results,5,FALSE)),"",(VLOOKUP(SMALL('Results-Hidden'!$B:$B,ROW(O8)-ROW($P$3)),Results,5,FALSE))))</f>
        <v>PERCENT OF TOTAL NON-UNIFORMITY DUE TO EACH PROBLEM:</v>
      </c>
      <c r="C7" s="29" t="str">
        <f>IF(ISERROR(VLOOKUP(SMALL('Results-Hidden'!$B:$B,ROW(P8)-ROW($P$3)),Results,6,FALSE)),"",IF(ISBLANK(VLOOKUP(SMALL('Results-Hidden'!$B:$B,ROW(P8)-ROW($P$3)),Results,6,FALSE)),"",(VLOOKUP(SMALL('Results-Hidden'!$B:$B,ROW(P8)-ROW($P$3)),Results,6,FALSE))))</f>
        <v/>
      </c>
      <c r="D7" s="313" t="str">
        <f>IF(ISERROR(VLOOKUP(SMALL('Results-Hidden'!$B:$B,ROW(P8)-ROW($P$3)),Results,7,FALSE)),"",IF(ISBLANK(VLOOKUP(SMALL('Results-Hidden'!$B:$B,ROW(P8)-ROW($P$3)),Results,7,FALSE)),"",(VLOOKUP(SMALL('Results-Hidden'!$B:$B,ROW(P8)-ROW($P$3)),Results,7,FALSE))))</f>
        <v/>
      </c>
      <c r="E7" s="259" t="str">
        <f>IF(ISERROR(VLOOKUP(SMALL('Results-Hidden'!$B:$B,ROW(P8)-ROW($P$3)),Results,8,FALSE)),"",IF(ISBLANK(VLOOKUP(SMALL('Results-Hidden'!$B:$B,ROW(P8)-ROW($P$3)),Results,8,FALSE)),"",(VLOOKUP(SMALL('Results-Hidden'!$B:$B,ROW(P8)-ROW($P$3)),Results,8,FALSE))))</f>
        <v/>
      </c>
      <c r="F7" s="64"/>
      <c r="G7" s="176" t="s">
        <v>550</v>
      </c>
      <c r="K7" s="182">
        <f>'Scheduling-Hidden'!B48</f>
        <v>1.7253737171130951E-2</v>
      </c>
      <c r="L7" s="182" t="str">
        <f>'Scheduling-Hidden'!B49</f>
        <v/>
      </c>
      <c r="M7" s="182" t="str">
        <f>'Scheduling-Hidden'!B50</f>
        <v/>
      </c>
      <c r="N7" s="22">
        <f>IF(ISERROR(VLOOKUP(SMALL('Problems-hidden'!$B:$B,ROW(O8)-ROW($P$3)),ResultsTable,6,FALSE)),"",IF(ISBLANK(VLOOKUP(SMALL('Problems-hidden'!$B:$B,ROW(O8)-ROW($P$3)),ResultsTable,6,FALSE)),"",(VLOOKUP(SMALL('Problems-hidden'!$B:$B,ROW(O8)-ROW($P$3)),ResultsTable,6,FALSE))))</f>
        <v>16</v>
      </c>
      <c r="O7" s="252" t="str">
        <f>IF(ISERROR(VLOOKUP(SMALL('Problems-hidden'!$B:$B,ROW(O8)-ROW($P$3)),ResultsTable,7,FALSE)),"",IF(ISBLANK(VLOOKUP(SMALL('Problems-hidden'!$B:$B,ROW(O8)-ROW($P$3)),ResultsTable,7,FALSE)),"",(VLOOKUP(SMALL('Problems-hidden'!$B:$B,ROW(O8)-ROW($P$3)),ResultsTable,7,FALSE))))</f>
        <v xml:space="preserve">               While emitter plugging is not currently affecting system performance </v>
      </c>
      <c r="P7" s="29"/>
      <c r="Q7" s="252"/>
    </row>
    <row r="8" spans="1:17" s="167" customFormat="1" ht="18" customHeight="1" x14ac:dyDescent="0.2">
      <c r="A8" s="22"/>
      <c r="B8" s="251" t="str">
        <f>IF(ISERROR(VLOOKUP(SMALL('Results-Hidden'!$B:$B,ROW(O9)-ROW($P$3)),Results,5,FALSE)),"",IF(ISBLANK(VLOOKUP(SMALL('Results-Hidden'!$B:$B,ROW(O9)-ROW($P$3)),Results,5,FALSE)),"",(VLOOKUP(SMALL('Results-Hidden'!$B:$B,ROW(O9)-ROW($P$3)),Results,5,FALSE))))</f>
        <v/>
      </c>
      <c r="C8" s="29" t="str">
        <f>IF(ISERROR(VLOOKUP(SMALL('Results-Hidden'!$B:$B,ROW(P9)-ROW($P$3)),Results,6,FALSE)),"",IF(ISBLANK(VLOOKUP(SMALL('Results-Hidden'!$B:$B,ROW(P9)-ROW($P$3)),Results,6,FALSE)),"",(VLOOKUP(SMALL('Results-Hidden'!$B:$B,ROW(P9)-ROW($P$3)),Results,6,FALSE))))</f>
        <v/>
      </c>
      <c r="D8" s="313" t="str">
        <f>IF(ISERROR(VLOOKUP(SMALL('Results-Hidden'!$B:$B,ROW(P9)-ROW($P$3)),Results,7,FALSE)),"",IF(ISBLANK(VLOOKUP(SMALL('Results-Hidden'!$B:$B,ROW(P9)-ROW($P$3)),Results,7,FALSE)),"",(VLOOKUP(SMALL('Results-Hidden'!$B:$B,ROW(P9)-ROW($P$3)),Results,7,FALSE))))</f>
        <v/>
      </c>
      <c r="E8" s="259" t="str">
        <f>IF(ISERROR(VLOOKUP(SMALL('Results-Hidden'!$B:$B,ROW(P9)-ROW($P$3)),Results,8,FALSE)),"",IF(ISBLANK(VLOOKUP(SMALL('Results-Hidden'!$B:$B,ROW(P9)-ROW($P$3)),Results,8,FALSE)),"",(VLOOKUP(SMALL('Results-Hidden'!$B:$B,ROW(P9)-ROW($P$3)),Results,8,FALSE))))</f>
        <v/>
      </c>
      <c r="F8" s="64"/>
      <c r="G8" s="176" t="s">
        <v>551</v>
      </c>
      <c r="K8" s="182">
        <f>'Scheduling-Hidden'!B92</f>
        <v>1.6778992019215313E-2</v>
      </c>
      <c r="L8" s="182" t="str">
        <f>'Scheduling-Hidden'!B93</f>
        <v/>
      </c>
      <c r="M8" s="182" t="str">
        <f>'Scheduling-Hidden'!B94</f>
        <v/>
      </c>
      <c r="N8" s="22" t="str">
        <f>IF(ISERROR(VLOOKUP(SMALL('Problems-hidden'!$B:$B,ROW(O9)-ROW($P$3)),ResultsTable,6,FALSE)),"",IF(ISBLANK(VLOOKUP(SMALL('Problems-hidden'!$B:$B,ROW(O9)-ROW($P$3)),ResultsTable,6,FALSE)),"",(VLOOKUP(SMALL('Problems-hidden'!$B:$B,ROW(O9)-ROW($P$3)),ResultsTable,6,FALSE))))</f>
        <v/>
      </c>
      <c r="O8" s="252" t="str">
        <f>IF(ISERROR(VLOOKUP(SMALL('Problems-hidden'!$B:$B,ROW(O9)-ROW($P$3)),ResultsTable,7,FALSE)),"",IF(ISBLANK(VLOOKUP(SMALL('Problems-hidden'!$B:$B,ROW(O9)-ROW($P$3)),ResultsTable,7,FALSE)),"",(VLOOKUP(SMALL('Problems-hidden'!$B:$B,ROW(O9)-ROW($P$3)),ResultsTable,7,FALSE))))</f>
        <v xml:space="preserve">               significantly, plugging may be a serious problem in the future</v>
      </c>
      <c r="P8" s="29"/>
      <c r="Q8" s="252"/>
    </row>
    <row r="9" spans="1:17" s="167" customFormat="1" ht="18" customHeight="1" x14ac:dyDescent="0.2">
      <c r="A9" s="22"/>
      <c r="B9" s="251" t="str">
        <f>IF(ISERROR(VLOOKUP(SMALL('Results-Hidden'!$B:$B,ROW(O10)-ROW($P$3)),Results,5,FALSE)),"",IF(ISBLANK(VLOOKUP(SMALL('Results-Hidden'!$B:$B,ROW(O10)-ROW($P$3)),Results,5,FALSE)),"",(VLOOKUP(SMALL('Results-Hidden'!$B:$B,ROW(O10)-ROW($P$3)),Results,5,FALSE))))</f>
        <v xml:space="preserve">     Pressure differences . . . . . . . . . . . . . . . . . . . . . . . . . . . . . . . . . . . . . . . . . . . . . . . . . . . . . . . . . . . . . . . . . . . . . . . . . . . . . .</v>
      </c>
      <c r="C9" s="29" t="str">
        <f>IF(ISERROR(VLOOKUP(SMALL('Results-Hidden'!$B:$B,ROW(P10)-ROW($P$3)),Results,6,FALSE)),"",IF(ISBLANK(VLOOKUP(SMALL('Results-Hidden'!$B:$B,ROW(P10)-ROW($P$3)),Results,6,FALSE)),"",(VLOOKUP(SMALL('Results-Hidden'!$B:$B,ROW(P10)-ROW($P$3)),Results,6,FALSE))))</f>
        <v/>
      </c>
      <c r="D9" s="313" t="str">
        <f>IF(ISERROR(VLOOKUP(SMALL('Results-Hidden'!$B:$B,ROW(P10)-ROW($P$3)),Results,7,FALSE)),"",IF(ISBLANK(VLOOKUP(SMALL('Results-Hidden'!$B:$B,ROW(P10)-ROW($P$3)),Results,7,FALSE)),"",(VLOOKUP(SMALL('Results-Hidden'!$B:$B,ROW(P10)-ROW($P$3)),Results,7,FALSE))))</f>
        <v/>
      </c>
      <c r="E9" s="259">
        <f>IF(ISERROR(VLOOKUP(SMALL('Results-Hidden'!$B:$B,ROW(P10)-ROW($P$3)),Results,8,FALSE)),"",IF(ISBLANK(VLOOKUP(SMALL('Results-Hidden'!$B:$B,ROW(P10)-ROW($P$3)),Results,8,FALSE)),"",(VLOOKUP(SMALL('Results-Hidden'!$B:$B,ROW(P10)-ROW($P$3)),Results,8,FALSE))))</f>
        <v>0.35557089846064405</v>
      </c>
      <c r="F9" s="64"/>
      <c r="N9" s="22" t="str">
        <f>IF(ISERROR(VLOOKUP(SMALL('Problems-hidden'!$B:$B,ROW(O10)-ROW($P$3)),ResultsTable,6,FALSE)),"",IF(ISBLANK(VLOOKUP(SMALL('Problems-hidden'!$B:$B,ROW(O10)-ROW($P$3)),ResultsTable,6,FALSE)),"",(VLOOKUP(SMALL('Problems-hidden'!$B:$B,ROW(O10)-ROW($P$3)),ResultsTable,6,FALSE))))</f>
        <v/>
      </c>
      <c r="O9" s="252" t="str">
        <f>IF(ISERROR(VLOOKUP(SMALL('Problems-hidden'!$B:$B,ROW(O10)-ROW($P$3)),ResultsTable,7,FALSE)),"",IF(ISBLANK(VLOOKUP(SMALL('Problems-hidden'!$B:$B,ROW(O10)-ROW($P$3)),ResultsTable,7,FALSE)),"",(VLOOKUP(SMALL('Problems-hidden'!$B:$B,ROW(O10)-ROW($P$3)),ResultsTable,7,FALSE))))</f>
        <v/>
      </c>
      <c r="P9" s="29"/>
      <c r="Q9" s="252"/>
    </row>
    <row r="10" spans="1:17" s="167" customFormat="1" ht="18" customHeight="1" x14ac:dyDescent="0.2">
      <c r="A10" s="22"/>
      <c r="B10" s="251" t="str">
        <f>IF(ISERROR(VLOOKUP(SMALL('Results-Hidden'!$B:$B,ROW(O11)-ROW($P$3)),Results,5,FALSE)),"",IF(ISBLANK(VLOOKUP(SMALL('Results-Hidden'!$B:$B,ROW(O11)-ROW($P$3)),Results,5,FALSE)),"",(VLOOKUP(SMALL('Results-Hidden'!$B:$B,ROW(O11)-ROW($P$3)),Results,5,FALSE))))</f>
        <v/>
      </c>
      <c r="C10" s="29" t="str">
        <f>IF(ISERROR(VLOOKUP(SMALL('Results-Hidden'!$B:$B,ROW(P11)-ROW($P$3)),Results,6,FALSE)),"",IF(ISBLANK(VLOOKUP(SMALL('Results-Hidden'!$B:$B,ROW(P11)-ROW($P$3)),Results,6,FALSE)),"",(VLOOKUP(SMALL('Results-Hidden'!$B:$B,ROW(P11)-ROW($P$3)),Results,6,FALSE))))</f>
        <v/>
      </c>
      <c r="D10" s="313" t="str">
        <f>IF(ISERROR(VLOOKUP(SMALL('Results-Hidden'!$B:$B,ROW(P11)-ROW($P$3)),Results,7,FALSE)),"",IF(ISBLANK(VLOOKUP(SMALL('Results-Hidden'!$B:$B,ROW(P11)-ROW($P$3)),Results,7,FALSE)),"",(VLOOKUP(SMALL('Results-Hidden'!$B:$B,ROW(P11)-ROW($P$3)),Results,7,FALSE))))</f>
        <v/>
      </c>
      <c r="E10" s="259" t="str">
        <f>IF(ISERROR(VLOOKUP(SMALL('Results-Hidden'!$B:$B,ROW(P11)-ROW($P$3)),Results,8,FALSE)),"",IF(ISBLANK(VLOOKUP(SMALL('Results-Hidden'!$B:$B,ROW(P11)-ROW($P$3)),Results,8,FALSE)),"",(VLOOKUP(SMALL('Results-Hidden'!$B:$B,ROW(P11)-ROW($P$3)),Results,8,FALSE))))</f>
        <v/>
      </c>
      <c r="F10" s="64" t="s">
        <v>554</v>
      </c>
      <c r="N10" s="22" t="str">
        <f>IF(ISERROR(VLOOKUP(SMALL('Problems-hidden'!$B:$B,ROW(O11)-ROW($P$3)),ResultsTable,6,FALSE)),"",IF(ISBLANK(VLOOKUP(SMALL('Problems-hidden'!$B:$B,ROW(O11)-ROW($P$3)),ResultsTable,6,FALSE)),"",(VLOOKUP(SMALL('Problems-hidden'!$B:$B,ROW(O11)-ROW($P$3)),ResultsTable,6,FALSE))))</f>
        <v/>
      </c>
      <c r="O10" s="252" t="str">
        <f>IF(ISERROR(VLOOKUP(SMALL('Problems-hidden'!$B:$B,ROW(O11)-ROW($P$3)),ResultsTable,7,FALSE)),"",IF(ISBLANK(VLOOKUP(SMALL('Problems-hidden'!$B:$B,ROW(O11)-ROW($P$3)),ResultsTable,7,FALSE)),"",(VLOOKUP(SMALL('Problems-hidden'!$B:$B,ROW(O11)-ROW($P$3)),ResultsTable,7,FALSE))))</f>
        <v xml:space="preserve">     Other problems noted</v>
      </c>
      <c r="P10" s="29"/>
      <c r="Q10" s="252"/>
    </row>
    <row r="11" spans="1:17" s="218" customFormat="1" ht="18" customHeight="1" x14ac:dyDescent="0.2">
      <c r="A11" s="22"/>
      <c r="B11" s="251" t="str">
        <f>IF(ISERROR(VLOOKUP(SMALL('Results-Hidden'!$B:$B,ROW(O12)-ROW($P$3)),Results,5,FALSE)),"",IF(ISBLANK(VLOOKUP(SMALL('Results-Hidden'!$B:$B,ROW(O12)-ROW($P$3)),Results,5,FALSE)),"",(VLOOKUP(SMALL('Results-Hidden'!$B:$B,ROW(O12)-ROW($P$3)),Results,5,FALSE))))</f>
        <v xml:space="preserve">          Difference between hose inlet pressures across the field:</v>
      </c>
      <c r="C11" s="29">
        <f>IF(ISERROR(VLOOKUP(SMALL('Results-Hidden'!$B:$B,ROW(P12)-ROW($P$3)),Results,6,FALSE)),"",IF(ISBLANK(VLOOKUP(SMALL('Results-Hidden'!$B:$B,ROW(P12)-ROW($P$3)),Results,6,FALSE)),"",(VLOOKUP(SMALL('Results-Hidden'!$B:$B,ROW(P12)-ROW($P$3)),Results,6,FALSE))))</f>
        <v>0</v>
      </c>
      <c r="D11" s="313" t="str">
        <f>IF(ISERROR(VLOOKUP(SMALL('Results-Hidden'!$B:$B,ROW(P12)-ROW($P$3)),Results,7,FALSE)),"",IF(ISBLANK(VLOOKUP(SMALL('Results-Hidden'!$B:$B,ROW(P12)-ROW($P$3)),Results,7,FALSE)),"",(VLOOKUP(SMALL('Results-Hidden'!$B:$B,ROW(P12)-ROW($P$3)),Results,7,FALSE))))</f>
        <v>psi</v>
      </c>
      <c r="E11" s="259" t="str">
        <f>IF(ISERROR(VLOOKUP(SMALL('Results-Hidden'!$B:$B,ROW(P12)-ROW($P$3)),Results,8,FALSE)),"",IF(ISBLANK(VLOOKUP(SMALL('Results-Hidden'!$B:$B,ROW(P12)-ROW($P$3)),Results,8,FALSE)),"",(VLOOKUP(SMALL('Results-Hidden'!$B:$B,ROW(P12)-ROW($P$3)),Results,8,FALSE))))</f>
        <v/>
      </c>
      <c r="F11" s="64"/>
      <c r="G11" s="167"/>
      <c r="H11" s="167"/>
      <c r="I11" s="176"/>
      <c r="J11" s="29" t="s">
        <v>548</v>
      </c>
      <c r="K11" s="29" t="s">
        <v>9</v>
      </c>
      <c r="L11" s="29" t="s">
        <v>10</v>
      </c>
      <c r="M11" s="29" t="s">
        <v>11</v>
      </c>
      <c r="N11" s="22">
        <f>IF(ISERROR(VLOOKUP(SMALL('Problems-hidden'!$B:$B,ROW(O12)-ROW($P$3)),ResultsTable,6,FALSE)),"",IF(ISBLANK(VLOOKUP(SMALL('Problems-hidden'!$B:$B,ROW(O12)-ROW($P$3)),ResultsTable,6,FALSE)),"",(VLOOKUP(SMALL('Problems-hidden'!$B:$B,ROW(O12)-ROW($P$3)),ResultsTable,6,FALSE))))</f>
        <v>34</v>
      </c>
      <c r="O11" s="252" t="str">
        <f>IF(ISERROR(VLOOKUP(SMALL('Problems-hidden'!$B:$B,ROW(O12)-ROW($P$3)),ResultsTable,7,FALSE)),"",IF(ISBLANK(VLOOKUP(SMALL('Problems-hidden'!$B:$B,ROW(O12)-ROW($P$3)),ResultsTable,7,FALSE)),"",(VLOOKUP(SMALL('Problems-hidden'!$B:$B,ROW(O12)-ROW($P$3)),ResultsTable,7,FALSE))))</f>
        <v xml:space="preserve">               Small wetted soil area</v>
      </c>
      <c r="P11" s="29"/>
      <c r="Q11" s="252"/>
    </row>
    <row r="12" spans="1:17" s="167" customFormat="1" ht="18" customHeight="1" x14ac:dyDescent="0.2">
      <c r="A12" s="22"/>
      <c r="B12" s="251" t="str">
        <f>IF(ISERROR(VLOOKUP(SMALL('Results-Hidden'!$B:$B,ROW(O13)-ROW($P$3)),Results,5,FALSE)),"",IF(ISBLANK(VLOOKUP(SMALL('Results-Hidden'!$B:$B,ROW(O13)-ROW($P$3)),Results,5,FALSE)),"",(VLOOKUP(SMALL('Results-Hidden'!$B:$B,ROW(O13)-ROW($P$3)),Results,5,FALSE))))</f>
        <v xml:space="preserve">          Maximum pressure difference within a hose:</v>
      </c>
      <c r="C12" s="29">
        <f>IF(ISERROR(VLOOKUP(SMALL('Results-Hidden'!$B:$B,ROW(P13)-ROW($P$3)),Results,6,FALSE)),"",IF(ISBLANK(VLOOKUP(SMALL('Results-Hidden'!$B:$B,ROW(P13)-ROW($P$3)),Results,6,FALSE)),"",(VLOOKUP(SMALL('Results-Hidden'!$B:$B,ROW(P13)-ROW($P$3)),Results,6,FALSE))))</f>
        <v>17</v>
      </c>
      <c r="D12" s="313" t="str">
        <f>IF(ISERROR(VLOOKUP(SMALL('Results-Hidden'!$B:$B,ROW(P13)-ROW($P$3)),Results,7,FALSE)),"",IF(ISBLANK(VLOOKUP(SMALL('Results-Hidden'!$B:$B,ROW(P13)-ROW($P$3)),Results,7,FALSE)),"",(VLOOKUP(SMALL('Results-Hidden'!$B:$B,ROW(P13)-ROW($P$3)),Results,7,FALSE))))</f>
        <v>psi</v>
      </c>
      <c r="E12" s="259" t="str">
        <f>IF(ISERROR(VLOOKUP(SMALL('Results-Hidden'!$B:$B,ROW(P13)-ROW($P$3)),Results,8,FALSE)),"",IF(ISBLANK(VLOOKUP(SMALL('Results-Hidden'!$B:$B,ROW(P13)-ROW($P$3)),Results,8,FALSE)),"",(VLOOKUP(SMALL('Results-Hidden'!$B:$B,ROW(P13)-ROW($P$3)),Results,8,FALSE))))</f>
        <v/>
      </c>
      <c r="F12" s="64"/>
      <c r="G12" s="218"/>
      <c r="H12" s="218"/>
      <c r="I12" s="218"/>
      <c r="J12" s="218"/>
      <c r="K12" s="29"/>
      <c r="L12" s="29"/>
      <c r="M12" s="29"/>
      <c r="N12" s="22" t="str">
        <f>IF(ISERROR(VLOOKUP(SMALL('Problems-hidden'!$B:$B,ROW(O13)-ROW($P$3)),ResultsTable,6,FALSE)),"",IF(ISBLANK(VLOOKUP(SMALL('Problems-hidden'!$B:$B,ROW(O13)-ROW($P$3)),ResultsTable,6,FALSE)),"",(VLOOKUP(SMALL('Problems-hidden'!$B:$B,ROW(O13)-ROW($P$3)),ResultsTable,6,FALSE))))</f>
        <v/>
      </c>
      <c r="O12" s="252" t="str">
        <f>IF(ISERROR(VLOOKUP(SMALL('Problems-hidden'!$B:$B,ROW(O13)-ROW($P$3)),ResultsTable,7,FALSE)),"",IF(ISBLANK(VLOOKUP(SMALL('Problems-hidden'!$B:$B,ROW(O13)-ROW($P$3)),ResultsTable,7,FALSE)),"",(VLOOKUP(SMALL('Problems-hidden'!$B:$B,ROW(O13)-ROW($P$3)),ResultsTable,7,FALSE))))</f>
        <v/>
      </c>
      <c r="P12" s="29"/>
      <c r="Q12" s="252"/>
    </row>
    <row r="13" spans="1:17" s="167" customFormat="1" ht="18" customHeight="1" x14ac:dyDescent="0.2">
      <c r="A13" s="22"/>
      <c r="B13" s="251" t="str">
        <f>IF(ISERROR(VLOOKUP(SMALL('Results-Hidden'!$B:$B,ROW(O14)-ROW($P$3)),Results,5,FALSE)),"",IF(ISBLANK(VLOOKUP(SMALL('Results-Hidden'!$B:$B,ROW(O14)-ROW($P$3)),Results,5,FALSE)),"",(VLOOKUP(SMALL('Results-Hidden'!$B:$B,ROW(O14)-ROW($P$3)),Results,5,FALSE))))</f>
        <v/>
      </c>
      <c r="C13" s="29" t="str">
        <f>IF(ISERROR(VLOOKUP(SMALL('Results-Hidden'!$B:$B,ROW(P14)-ROW($P$3)),Results,6,FALSE)),"",IF(ISBLANK(VLOOKUP(SMALL('Results-Hidden'!$B:$B,ROW(P14)-ROW($P$3)),Results,6,FALSE)),"",(VLOOKUP(SMALL('Results-Hidden'!$B:$B,ROW(P14)-ROW($P$3)),Results,6,FALSE))))</f>
        <v/>
      </c>
      <c r="D13" s="313" t="str">
        <f>IF(ISERROR(VLOOKUP(SMALL('Results-Hidden'!$B:$B,ROW(P14)-ROW($P$3)),Results,7,FALSE)),"",IF(ISBLANK(VLOOKUP(SMALL('Results-Hidden'!$B:$B,ROW(P14)-ROW($P$3)),Results,7,FALSE)),"",(VLOOKUP(SMALL('Results-Hidden'!$B:$B,ROW(P14)-ROW($P$3)),Results,7,FALSE))))</f>
        <v/>
      </c>
      <c r="E13" s="259" t="str">
        <f>IF(ISERROR(VLOOKUP(SMALL('Results-Hidden'!$B:$B,ROW(P14)-ROW($P$3)),Results,8,FALSE)),"",IF(ISBLANK(VLOOKUP(SMALL('Results-Hidden'!$B:$B,ROW(P14)-ROW($P$3)),Results,8,FALSE)),"",(VLOOKUP(SMALL('Results-Hidden'!$B:$B,ROW(P14)-ROW($P$3)),Results,8,FALSE))))</f>
        <v/>
      </c>
      <c r="F13" s="64"/>
      <c r="G13" s="406" t="s">
        <v>740</v>
      </c>
      <c r="H13" s="406"/>
      <c r="I13" s="406"/>
      <c r="J13" s="406"/>
      <c r="K13" s="29"/>
      <c r="L13" s="29"/>
      <c r="M13" s="29"/>
      <c r="N13" s="22" t="str">
        <f>IF(ISERROR(VLOOKUP(SMALL('Problems-hidden'!$B:$B,ROW(O14)-ROW($P$3)),ResultsTable,6,FALSE)),"",IF(ISBLANK(VLOOKUP(SMALL('Problems-hidden'!$B:$B,ROW(O14)-ROW($P$3)),ResultsTable,6,FALSE)),"",(VLOOKUP(SMALL('Problems-hidden'!$B:$B,ROW(O14)-ROW($P$3)),ResultsTable,6,FALSE))))</f>
        <v/>
      </c>
      <c r="O13" s="252" t="str">
        <f>IF(ISERROR(VLOOKUP(SMALL('Problems-hidden'!$B:$B,ROW(O14)-ROW($P$3)),ResultsTable,7,FALSE)),"",IF(ISBLANK(VLOOKUP(SMALL('Problems-hidden'!$B:$B,ROW(O14)-ROW($P$3)),ResultsTable,7,FALSE)),"",(VLOOKUP(SMALL('Problems-hidden'!$B:$B,ROW(O14)-ROW($P$3)),ResultsTable,7,FALSE))))</f>
        <v/>
      </c>
      <c r="P13" s="29"/>
      <c r="Q13" s="252"/>
    </row>
    <row r="14" spans="1:17" s="167" customFormat="1" ht="18" customHeight="1" x14ac:dyDescent="0.2">
      <c r="A14" s="22"/>
      <c r="B14" s="251" t="str">
        <f>IF(ISERROR(VLOOKUP(SMALL('Results-Hidden'!$B:$B,ROW(O15)-ROW($P$3)),Results,5,FALSE)),"",IF(ISBLANK(VLOOKUP(SMALL('Results-Hidden'!$B:$B,ROW(O15)-ROW($P$3)),Results,5,FALSE)),"",(VLOOKUP(SMALL('Results-Hidden'!$B:$B,ROW(O15)-ROW($P$3)),Results,5,FALSE))))</f>
        <v xml:space="preserve">     Other causes of flow variation  . . . . . . . . . . . . . . . . . . . . . . . . . . . . . . . . . . . . . . . . . . . . . . . . . . . . . . . . . . . . . . . . . . . .</v>
      </c>
      <c r="C14" s="29" t="str">
        <f>IF(ISERROR(VLOOKUP(SMALL('Results-Hidden'!$B:$B,ROW(P15)-ROW($P$3)),Results,6,FALSE)),"",IF(ISBLANK(VLOOKUP(SMALL('Results-Hidden'!$B:$B,ROW(P15)-ROW($P$3)),Results,6,FALSE)),"",(VLOOKUP(SMALL('Results-Hidden'!$B:$B,ROW(P15)-ROW($P$3)),Results,6,FALSE))))</f>
        <v/>
      </c>
      <c r="D14" s="313" t="str">
        <f>IF(ISERROR(VLOOKUP(SMALL('Results-Hidden'!$B:$B,ROW(P15)-ROW($P$3)),Results,7,FALSE)),"",IF(ISBLANK(VLOOKUP(SMALL('Results-Hidden'!$B:$B,ROW(P15)-ROW($P$3)),Results,7,FALSE)),"",(VLOOKUP(SMALL('Results-Hidden'!$B:$B,ROW(P15)-ROW($P$3)),Results,7,FALSE))))</f>
        <v/>
      </c>
      <c r="E14" s="259">
        <f>IF(ISERROR(VLOOKUP(SMALL('Results-Hidden'!$B:$B,ROW(P15)-ROW($P$3)),Results,8,FALSE)),"",IF(ISBLANK(VLOOKUP(SMALL('Results-Hidden'!$B:$B,ROW(P15)-ROW($P$3)),Results,8,FALSE)),"",(VLOOKUP(SMALL('Results-Hidden'!$B:$B,ROW(P15)-ROW($P$3)),Results,8,FALSE))))</f>
        <v>0.54737441824182687</v>
      </c>
      <c r="F14" s="64"/>
      <c r="G14" s="406"/>
      <c r="H14" s="406"/>
      <c r="I14" s="406"/>
      <c r="J14" s="406"/>
      <c r="K14" s="183">
        <f>'Scheduling-Hidden'!B102</f>
        <v>37.993939044129384</v>
      </c>
      <c r="L14" s="183" t="str">
        <f>'Scheduling-Hidden'!B103</f>
        <v/>
      </c>
      <c r="M14" s="183" t="str">
        <f>'Scheduling-Hidden'!B104</f>
        <v/>
      </c>
      <c r="N14" s="22" t="str">
        <f>IF(ISERROR(VLOOKUP(SMALL('Problems-hidden'!$B:$B,ROW(O15)-ROW($P$3)),ResultsTable,6,FALSE)),"",IF(ISBLANK(VLOOKUP(SMALL('Problems-hidden'!$B:$B,ROW(O15)-ROW($P$3)),ResultsTable,6,FALSE)),"",(VLOOKUP(SMALL('Problems-hidden'!$B:$B,ROW(O15)-ROW($P$3)),ResultsTable,6,FALSE))))</f>
        <v/>
      </c>
      <c r="O14" s="252" t="str">
        <f>IF(ISERROR(VLOOKUP(SMALL('Problems-hidden'!$B:$B,ROW(O15)-ROW($P$3)),ResultsTable,7,FALSE)),"",IF(ISBLANK(VLOOKUP(SMALL('Problems-hidden'!$B:$B,ROW(O15)-ROW($P$3)),ResultsTable,7,FALSE)),"",(VLOOKUP(SMALL('Problems-hidden'!$B:$B,ROW(O15)-ROW($P$3)),ResultsTable,7,FALSE))))</f>
        <v/>
      </c>
      <c r="P14" s="29"/>
      <c r="Q14" s="252"/>
    </row>
    <row r="15" spans="1:17" s="167" customFormat="1" ht="18" customHeight="1" x14ac:dyDescent="0.2">
      <c r="A15" s="22"/>
      <c r="B15" s="251" t="str">
        <f>IF(ISERROR(VLOOKUP(SMALL('Results-Hidden'!$B:$B,ROW(O16)-ROW($P$3)),Results,5,FALSE)),"",IF(ISBLANK(VLOOKUP(SMALL('Results-Hidden'!$B:$B,ROW(O16)-ROW($P$3)),Results,5,FALSE)),"",(VLOOKUP(SMALL('Results-Hidden'!$B:$B,ROW(O16)-ROW($P$3)),Results,5,FALSE))))</f>
        <v/>
      </c>
      <c r="C15" s="29" t="str">
        <f>IF(ISERROR(VLOOKUP(SMALL('Results-Hidden'!$B:$B,ROW(P16)-ROW($P$3)),Results,6,FALSE)),"",IF(ISBLANK(VLOOKUP(SMALL('Results-Hidden'!$B:$B,ROW(P16)-ROW($P$3)),Results,6,FALSE)),"",(VLOOKUP(SMALL('Results-Hidden'!$B:$B,ROW(P16)-ROW($P$3)),Results,6,FALSE))))</f>
        <v/>
      </c>
      <c r="D15" s="313" t="str">
        <f>IF(ISERROR(VLOOKUP(SMALL('Results-Hidden'!$B:$B,ROW(P16)-ROW($P$3)),Results,7,FALSE)),"",IF(ISBLANK(VLOOKUP(SMALL('Results-Hidden'!$B:$B,ROW(P16)-ROW($P$3)),Results,7,FALSE)),"",(VLOOKUP(SMALL('Results-Hidden'!$B:$B,ROW(P16)-ROW($P$3)),Results,7,FALSE))))</f>
        <v/>
      </c>
      <c r="E15" s="259" t="str">
        <f>IF(ISERROR(VLOOKUP(SMALL('Results-Hidden'!$B:$B,ROW(P16)-ROW($P$3)),Results,8,FALSE)),"",IF(ISBLANK(VLOOKUP(SMALL('Results-Hidden'!$B:$B,ROW(P16)-ROW($P$3)),Results,8,FALSE)),"",(VLOOKUP(SMALL('Results-Hidden'!$B:$B,ROW(P16)-ROW($P$3)),Results,8,FALSE))))</f>
        <v/>
      </c>
      <c r="N15" s="22" t="str">
        <f>IF(ISERROR(VLOOKUP(SMALL('Problems-hidden'!$B:$B,ROW(O16)-ROW($P$3)),ResultsTable,6,FALSE)),"",IF(ISBLANK(VLOOKUP(SMALL('Problems-hidden'!$B:$B,ROW(O16)-ROW($P$3)),ResultsTable,6,FALSE)),"",(VLOOKUP(SMALL('Problems-hidden'!$B:$B,ROW(O16)-ROW($P$3)),ResultsTable,6,FALSE))))</f>
        <v/>
      </c>
      <c r="O15" s="252" t="str">
        <f>IF(ISERROR(VLOOKUP(SMALL('Problems-hidden'!$B:$B,ROW(O16)-ROW($P$3)),ResultsTable,7,FALSE)),"",IF(ISBLANK(VLOOKUP(SMALL('Problems-hidden'!$B:$B,ROW(O16)-ROW($P$3)),ResultsTable,7,FALSE)),"",(VLOOKUP(SMALL('Problems-hidden'!$B:$B,ROW(O16)-ROW($P$3)),ResultsTable,7,FALSE))))</f>
        <v/>
      </c>
      <c r="P15" s="29"/>
      <c r="Q15" s="252"/>
    </row>
    <row r="16" spans="1:17" s="167" customFormat="1" ht="18" customHeight="1" x14ac:dyDescent="0.2">
      <c r="A16" s="22"/>
      <c r="B16" s="251" t="str">
        <f>IF(ISERROR(VLOOKUP(SMALL('Results-Hidden'!$B:$B,ROW(O17)-ROW($P$3)),Results,5,FALSE)),"",IF(ISBLANK(VLOOKUP(SMALL('Results-Hidden'!$B:$B,ROW(O17)-ROW($P$3)),Results,5,FALSE)),"",(VLOOKUP(SMALL('Results-Hidden'!$B:$B,ROW(O17)-ROW($P$3)),Results,5,FALSE))))</f>
        <v xml:space="preserve">     Unequal Spacing . . . . . . . . . . . . . . . . . . . . . . . . . . . . . . . . . . . . . . . . . . . . . . . . . . . . . . . . . . . . . . . . . . . . . . . . . . . . . . . . . . .</v>
      </c>
      <c r="C16" s="29" t="str">
        <f>IF(ISERROR(VLOOKUP(SMALL('Results-Hidden'!$B:$B,ROW(P17)-ROW($P$3)),Results,6,FALSE)),"",IF(ISBLANK(VLOOKUP(SMALL('Results-Hidden'!$B:$B,ROW(P17)-ROW($P$3)),Results,6,FALSE)),"",(VLOOKUP(SMALL('Results-Hidden'!$B:$B,ROW(P17)-ROW($P$3)),Results,6,FALSE))))</f>
        <v/>
      </c>
      <c r="D16" s="313" t="str">
        <f>IF(ISERROR(VLOOKUP(SMALL('Results-Hidden'!$B:$B,ROW(P17)-ROW($P$3)),Results,7,FALSE)),"",IF(ISBLANK(VLOOKUP(SMALL('Results-Hidden'!$B:$B,ROW(P17)-ROW($P$3)),Results,7,FALSE)),"",(VLOOKUP(SMALL('Results-Hidden'!$B:$B,ROW(P17)-ROW($P$3)),Results,7,FALSE))))</f>
        <v/>
      </c>
      <c r="E16" s="259">
        <f>IF(ISERROR(VLOOKUP(SMALL('Results-Hidden'!$B:$B,ROW(P17)-ROW($P$3)),Results,8,FALSE)),"",IF(ISBLANK(VLOOKUP(SMALL('Results-Hidden'!$B:$B,ROW(P17)-ROW($P$3)),Results,8,FALSE)),"",(VLOOKUP(SMALL('Results-Hidden'!$B:$B,ROW(P17)-ROW($P$3)),Results,8,FALSE))))</f>
        <v>0</v>
      </c>
      <c r="F16" s="64"/>
      <c r="G16" s="406" t="s">
        <v>555</v>
      </c>
      <c r="H16" s="406"/>
      <c r="I16" s="406"/>
      <c r="J16" s="406"/>
      <c r="K16" s="29"/>
      <c r="L16" s="29"/>
      <c r="M16" s="29"/>
      <c r="N16" s="22" t="str">
        <f>IF(ISERROR(VLOOKUP(SMALL('Problems-hidden'!$B:$B,ROW(O17)-ROW($P$3)),ResultsTable,6,FALSE)),"",IF(ISBLANK(VLOOKUP(SMALL('Problems-hidden'!$B:$B,ROW(O17)-ROW($P$3)),ResultsTable,6,FALSE)),"",(VLOOKUP(SMALL('Problems-hidden'!$B:$B,ROW(O17)-ROW($P$3)),ResultsTable,6,FALSE))))</f>
        <v/>
      </c>
      <c r="O16" s="252" t="str">
        <f>IF(ISERROR(VLOOKUP(SMALL('Problems-hidden'!$B:$B,ROW(O17)-ROW($P$3)),ResultsTable,7,FALSE)),"",IF(ISBLANK(VLOOKUP(SMALL('Problems-hidden'!$B:$B,ROW(O17)-ROW($P$3)),ResultsTable,7,FALSE)),"",(VLOOKUP(SMALL('Problems-hidden'!$B:$B,ROW(O17)-ROW($P$3)),ResultsTable,7,FALSE))))</f>
        <v/>
      </c>
      <c r="P16" s="29"/>
      <c r="Q16" s="252"/>
    </row>
    <row r="17" spans="1:17" s="167" customFormat="1" ht="18" customHeight="1" x14ac:dyDescent="0.2">
      <c r="A17" s="22"/>
      <c r="B17" s="251" t="str">
        <f>IF(ISERROR(VLOOKUP(SMALL('Results-Hidden'!$B:$B,ROW(O18)-ROW($P$3)),Results,5,FALSE)),"",IF(ISBLANK(VLOOKUP(SMALL('Results-Hidden'!$B:$B,ROW(O18)-ROW($P$3)),Results,5,FALSE)),"",(VLOOKUP(SMALL('Results-Hidden'!$B:$B,ROW(O18)-ROW($P$3)),Results,5,FALSE))))</f>
        <v/>
      </c>
      <c r="C17" s="29" t="str">
        <f>IF(ISERROR(VLOOKUP(SMALL('Results-Hidden'!$B:$B,ROW(P18)-ROW($P$3)),Results,6,FALSE)),"",IF(ISBLANK(VLOOKUP(SMALL('Results-Hidden'!$B:$B,ROW(P18)-ROW($P$3)),Results,6,FALSE)),"",(VLOOKUP(SMALL('Results-Hidden'!$B:$B,ROW(P18)-ROW($P$3)),Results,6,FALSE))))</f>
        <v/>
      </c>
      <c r="D17" s="313" t="str">
        <f>IF(ISERROR(VLOOKUP(SMALL('Results-Hidden'!$B:$B,ROW(P18)-ROW($P$3)),Results,7,FALSE)),"",IF(ISBLANK(VLOOKUP(SMALL('Results-Hidden'!$B:$B,ROW(P18)-ROW($P$3)),Results,7,FALSE)),"",(VLOOKUP(SMALL('Results-Hidden'!$B:$B,ROW(P18)-ROW($P$3)),Results,7,FALSE))))</f>
        <v/>
      </c>
      <c r="E17" s="259" t="str">
        <f>IF(ISERROR(VLOOKUP(SMALL('Results-Hidden'!$B:$B,ROW(P18)-ROW($P$3)),Results,8,FALSE)),"",IF(ISBLANK(VLOOKUP(SMALL('Results-Hidden'!$B:$B,ROW(P18)-ROW($P$3)),Results,8,FALSE)),"",(VLOOKUP(SMALL('Results-Hidden'!$B:$B,ROW(P18)-ROW($P$3)),Results,8,FALSE))))</f>
        <v/>
      </c>
      <c r="F17" s="64"/>
      <c r="G17" s="406"/>
      <c r="H17" s="406"/>
      <c r="I17" s="406"/>
      <c r="J17" s="406"/>
      <c r="K17" s="29"/>
      <c r="L17" s="29"/>
      <c r="M17" s="29"/>
      <c r="N17" s="22" t="str">
        <f>IF(ISERROR(VLOOKUP(SMALL('Problems-hidden'!$B:$B,ROW(O18)-ROW($P$3)),ResultsTable,6,FALSE)),"",IF(ISBLANK(VLOOKUP(SMALL('Problems-hidden'!$B:$B,ROW(O18)-ROW($P$3)),ResultsTable,6,FALSE)),"",(VLOOKUP(SMALL('Problems-hidden'!$B:$B,ROW(O18)-ROW($P$3)),ResultsTable,6,FALSE))))</f>
        <v/>
      </c>
      <c r="O17" s="252" t="str">
        <f>IF(ISERROR(VLOOKUP(SMALL('Problems-hidden'!$B:$B,ROW(O18)-ROW($P$3)),ResultsTable,7,FALSE)),"",IF(ISBLANK(VLOOKUP(SMALL('Problems-hidden'!$B:$B,ROW(O18)-ROW($P$3)),ResultsTable,7,FALSE)),"",(VLOOKUP(SMALL('Problems-hidden'!$B:$B,ROW(O18)-ROW($P$3)),ResultsTable,7,FALSE))))</f>
        <v/>
      </c>
      <c r="P17" s="29"/>
      <c r="Q17" s="252"/>
    </row>
    <row r="18" spans="1:17" s="167" customFormat="1" ht="18" customHeight="1" x14ac:dyDescent="0.2">
      <c r="A18" s="22"/>
      <c r="B18" s="251" t="str">
        <f>IF(ISERROR(VLOOKUP(SMALL('Results-Hidden'!$B:$B,ROW(O19)-ROW($P$3)),Results,5,FALSE)),"",IF(ISBLANK(VLOOKUP(SMALL('Results-Hidden'!$B:$B,ROW(O19)-ROW($P$3)),Results,5,FALSE)),"",(VLOOKUP(SMALL('Results-Hidden'!$B:$B,ROW(O19)-ROW($P$3)),Results,5,FALSE))))</f>
        <v xml:space="preserve">     Unequal Drainage . . . . . . . . . . . . . . . . . . . . . . . . . . . . . . . . . . . . . . . . . . . . . . . . . . . . . . . . . . . . . . . . . . . . . . . . . . . . . . . . . .</v>
      </c>
      <c r="C18" s="29" t="str">
        <f>IF(ISERROR(VLOOKUP(SMALL('Results-Hidden'!$B:$B,ROW(P19)-ROW($P$3)),Results,6,FALSE)),"",IF(ISBLANK(VLOOKUP(SMALL('Results-Hidden'!$B:$B,ROW(P19)-ROW($P$3)),Results,6,FALSE)),"",(VLOOKUP(SMALL('Results-Hidden'!$B:$B,ROW(P19)-ROW($P$3)),Results,6,FALSE))))</f>
        <v/>
      </c>
      <c r="D18" s="313" t="str">
        <f>IF(ISERROR(VLOOKUP(SMALL('Results-Hidden'!$B:$B,ROW(P19)-ROW($P$3)),Results,7,FALSE)),"",IF(ISBLANK(VLOOKUP(SMALL('Results-Hidden'!$B:$B,ROW(P19)-ROW($P$3)),Results,7,FALSE)),"",(VLOOKUP(SMALL('Results-Hidden'!$B:$B,ROW(P19)-ROW($P$3)),Results,7,FALSE))))</f>
        <v/>
      </c>
      <c r="E18" s="259">
        <f>IF(ISERROR(VLOOKUP(SMALL('Results-Hidden'!$B:$B,ROW(P19)-ROW($P$3)),Results,8,FALSE)),"",IF(ISBLANK(VLOOKUP(SMALL('Results-Hidden'!$B:$B,ROW(P19)-ROW($P$3)),Results,8,FALSE)),"",(VLOOKUP(SMALL('Results-Hidden'!$B:$B,ROW(P19)-ROW($P$3)),Results,8,FALSE))))</f>
        <v>9.7054683297529101E-2</v>
      </c>
      <c r="F18" s="64"/>
      <c r="G18" s="406"/>
      <c r="H18" s="406"/>
      <c r="I18" s="406"/>
      <c r="J18" s="406"/>
      <c r="N18" s="22" t="str">
        <f>IF(ISERROR(VLOOKUP(SMALL('Problems-hidden'!$B:$B,ROW(O19)-ROW($P$3)),ResultsTable,6,FALSE)),"",IF(ISBLANK(VLOOKUP(SMALL('Problems-hidden'!$B:$B,ROW(O19)-ROW($P$3)),ResultsTable,6,FALSE)),"",(VLOOKUP(SMALL('Problems-hidden'!$B:$B,ROW(O19)-ROW($P$3)),ResultsTable,6,FALSE))))</f>
        <v/>
      </c>
      <c r="O18" s="252" t="str">
        <f>IF(ISERROR(VLOOKUP(SMALL('Problems-hidden'!$B:$B,ROW(O19)-ROW($P$3)),ResultsTable,7,FALSE)),"",IF(ISBLANK(VLOOKUP(SMALL('Problems-hidden'!$B:$B,ROW(O19)-ROW($P$3)),ResultsTable,7,FALSE)),"",(VLOOKUP(SMALL('Problems-hidden'!$B:$B,ROW(O19)-ROW($P$3)),ResultsTable,7,FALSE))))</f>
        <v/>
      </c>
      <c r="P18" s="29"/>
      <c r="Q18" s="252"/>
    </row>
    <row r="19" spans="1:17" s="167" customFormat="1" ht="18" customHeight="1" x14ac:dyDescent="0.2">
      <c r="A19" s="22"/>
      <c r="B19" s="251" t="str">
        <f>IF(ISERROR(VLOOKUP(SMALL('Results-Hidden'!$B:$B,ROW(O20)-ROW($P$3)),Results,5,FALSE)),"",IF(ISBLANK(VLOOKUP(SMALL('Results-Hidden'!$B:$B,ROW(O20)-ROW($P$3)),Results,5,FALSE)),"",(VLOOKUP(SMALL('Results-Hidden'!$B:$B,ROW(O20)-ROW($P$3)),Results,5,FALSE))))</f>
        <v/>
      </c>
      <c r="C19" s="29" t="str">
        <f>IF(ISERROR(VLOOKUP(SMALL('Results-Hidden'!$B:$B,ROW(P20)-ROW($P$3)),Results,6,FALSE)),"",IF(ISBLANK(VLOOKUP(SMALL('Results-Hidden'!$B:$B,ROW(P20)-ROW($P$3)),Results,6,FALSE)),"",(VLOOKUP(SMALL('Results-Hidden'!$B:$B,ROW(P20)-ROW($P$3)),Results,6,FALSE))))</f>
        <v/>
      </c>
      <c r="D19" s="313" t="str">
        <f>IF(ISERROR(VLOOKUP(SMALL('Results-Hidden'!$B:$B,ROW(P20)-ROW($P$3)),Results,7,FALSE)),"",IF(ISBLANK(VLOOKUP(SMALL('Results-Hidden'!$B:$B,ROW(P20)-ROW($P$3)),Results,7,FALSE)),"",(VLOOKUP(SMALL('Results-Hidden'!$B:$B,ROW(P20)-ROW($P$3)),Results,7,FALSE))))</f>
        <v/>
      </c>
      <c r="E19" s="259" t="str">
        <f>IF(ISERROR(VLOOKUP(SMALL('Results-Hidden'!$B:$B,ROW(P20)-ROW($P$3)),Results,8,FALSE)),"",IF(ISBLANK(VLOOKUP(SMALL('Results-Hidden'!$B:$B,ROW(P20)-ROW($P$3)),Results,8,FALSE)),"",(VLOOKUP(SMALL('Results-Hidden'!$B:$B,ROW(P20)-ROW($P$3)),Results,8,FALSE))))</f>
        <v/>
      </c>
      <c r="F19" s="64"/>
      <c r="G19" s="406"/>
      <c r="H19" s="406"/>
      <c r="I19" s="406"/>
      <c r="J19" s="406"/>
      <c r="K19" s="183">
        <f>'Scheduling-Hidden'!B111</f>
        <v>76.499999999999986</v>
      </c>
      <c r="L19" s="29" t="str">
        <f>'Scheduling-Hidden'!B112</f>
        <v/>
      </c>
      <c r="M19" s="29" t="str">
        <f>'Scheduling-Hidden'!B113</f>
        <v/>
      </c>
      <c r="N19" s="22" t="str">
        <f>IF(ISERROR(VLOOKUP(SMALL('Problems-hidden'!$B:$B,ROW(O20)-ROW($P$3)),ResultsTable,6,FALSE)),"",IF(ISBLANK(VLOOKUP(SMALL('Problems-hidden'!$B:$B,ROW(O20)-ROW($P$3)),ResultsTable,6,FALSE)),"",(VLOOKUP(SMALL('Problems-hidden'!$B:$B,ROW(O20)-ROW($P$3)),ResultsTable,6,FALSE))))</f>
        <v/>
      </c>
      <c r="O19" s="252" t="str">
        <f>IF(ISERROR(VLOOKUP(SMALL('Problems-hidden'!$B:$B,ROW(O20)-ROW($P$3)),ResultsTable,7,FALSE)),"",IF(ISBLANK(VLOOKUP(SMALL('Problems-hidden'!$B:$B,ROW(O20)-ROW($P$3)),ResultsTable,7,FALSE)),"",(VLOOKUP(SMALL('Problems-hidden'!$B:$B,ROW(O20)-ROW($P$3)),ResultsTable,7,FALSE))))</f>
        <v/>
      </c>
      <c r="P19" s="29"/>
      <c r="Q19" s="252"/>
    </row>
    <row r="20" spans="1:17" s="167" customFormat="1" ht="18" customHeight="1" x14ac:dyDescent="0.2">
      <c r="A20" s="22"/>
      <c r="B20" s="251" t="str">
        <f>IF(ISERROR(VLOOKUP(SMALL('Results-Hidden'!$B:$B,ROW(O21)-ROW($P$3)),Results,5,FALSE)),"",IF(ISBLANK(VLOOKUP(SMALL('Results-Hidden'!$B:$B,ROW(O21)-ROW($P$3)),Results,5,FALSE)),"",(VLOOKUP(SMALL('Results-Hidden'!$B:$B,ROW(O21)-ROW($P$3)),Results,5,FALSE))))</f>
        <v/>
      </c>
      <c r="C20" s="29" t="str">
        <f>IF(ISERROR(VLOOKUP(SMALL('Results-Hidden'!$B:$B,ROW(P21)-ROW($P$3)),Results,6,FALSE)),"",IF(ISBLANK(VLOOKUP(SMALL('Results-Hidden'!$B:$B,ROW(P21)-ROW($P$3)),Results,6,FALSE)),"",(VLOOKUP(SMALL('Results-Hidden'!$B:$B,ROW(P21)-ROW($P$3)),Results,6,FALSE))))</f>
        <v/>
      </c>
      <c r="D20" s="313" t="str">
        <f>IF(ISERROR(VLOOKUP(SMALL('Results-Hidden'!$B:$B,ROW(P21)-ROW($P$3)),Results,7,FALSE)),"",IF(ISBLANK(VLOOKUP(SMALL('Results-Hidden'!$B:$B,ROW(P21)-ROW($P$3)),Results,7,FALSE)),"",(VLOOKUP(SMALL('Results-Hidden'!$B:$B,ROW(P21)-ROW($P$3)),Results,7,FALSE))))</f>
        <v/>
      </c>
      <c r="E20" s="259" t="str">
        <f>IF(ISERROR(VLOOKUP(SMALL('Results-Hidden'!$B:$B,ROW(P21)-ROW($P$3)),Results,8,FALSE)),"",IF(ISBLANK(VLOOKUP(SMALL('Results-Hidden'!$B:$B,ROW(P21)-ROW($P$3)),Results,8,FALSE)),"",(VLOOKUP(SMALL('Results-Hidden'!$B:$B,ROW(P21)-ROW($P$3)),Results,8,FALSE))))</f>
        <v/>
      </c>
      <c r="F20" s="64"/>
      <c r="G20" s="177"/>
      <c r="H20" s="177"/>
      <c r="I20" s="177"/>
      <c r="J20" s="177"/>
      <c r="K20" s="29"/>
      <c r="L20" s="29"/>
      <c r="M20" s="29"/>
      <c r="N20" s="22" t="str">
        <f>IF(ISERROR(VLOOKUP(SMALL('Problems-hidden'!$B:$B,ROW(O21)-ROW($P$3)),ResultsTable,6,FALSE)),"",IF(ISBLANK(VLOOKUP(SMALL('Problems-hidden'!$B:$B,ROW(O21)-ROW($P$3)),ResultsTable,6,FALSE)),"",(VLOOKUP(SMALL('Problems-hidden'!$B:$B,ROW(O21)-ROW($P$3)),ResultsTable,6,FALSE))))</f>
        <v/>
      </c>
      <c r="O20" s="252" t="str">
        <f>IF(ISERROR(VLOOKUP(SMALL('Problems-hidden'!$B:$B,ROW(O21)-ROW($P$3)),ResultsTable,7,FALSE)),"",IF(ISBLANK(VLOOKUP(SMALL('Problems-hidden'!$B:$B,ROW(O21)-ROW($P$3)),ResultsTable,7,FALSE)),"",(VLOOKUP(SMALL('Problems-hidden'!$B:$B,ROW(O21)-ROW($P$3)),ResultsTable,7,FALSE))))</f>
        <v/>
      </c>
      <c r="P20" s="29"/>
      <c r="Q20" s="252"/>
    </row>
    <row r="21" spans="1:17" s="167" customFormat="1" ht="18" customHeight="1" x14ac:dyDescent="0.2">
      <c r="A21" s="22"/>
      <c r="B21" s="251" t="str">
        <f>IF(ISERROR(VLOOKUP(SMALL('Results-Hidden'!$B:$B,ROW(O22)-ROW($P$3)),Results,5,FALSE)),"",IF(ISBLANK(VLOOKUP(SMALL('Results-Hidden'!$B:$B,ROW(O22)-ROW($P$3)),Results,5,FALSE)),"",(VLOOKUP(SMALL('Results-Hidden'!$B:$B,ROW(O22)-ROW($P$3)),Results,5,FALSE))))</f>
        <v xml:space="preserve">          ESTIMATE OF EXCESS PRESSURE  . . . . . . . . . . . . . . . . . . . . . . . . . . . . . . . . . . . . . . . . . . .</v>
      </c>
      <c r="C21" s="29">
        <f>IF(ISERROR(VLOOKUP(SMALL('Results-Hidden'!$B:$B,ROW(P22)-ROW($P$3)),Results,6,FALSE)),"",IF(ISBLANK(VLOOKUP(SMALL('Results-Hidden'!$B:$B,ROW(P22)-ROW($P$3)),Results,6,FALSE)),"",(VLOOKUP(SMALL('Results-Hidden'!$B:$B,ROW(P22)-ROW($P$3)),Results,6,FALSE))))</f>
        <v>0</v>
      </c>
      <c r="D21" s="313" t="str">
        <f>IF(ISERROR(VLOOKUP(SMALL('Results-Hidden'!$B:$B,ROW(P22)-ROW($P$3)),Results,7,FALSE)),"",IF(ISBLANK(VLOOKUP(SMALL('Results-Hidden'!$B:$B,ROW(P22)-ROW($P$3)),Results,7,FALSE)),"",(VLOOKUP(SMALL('Results-Hidden'!$B:$B,ROW(P22)-ROW($P$3)),Results,7,FALSE))))</f>
        <v>psi</v>
      </c>
      <c r="E21" s="259" t="str">
        <f>IF(ISERROR(VLOOKUP(SMALL('Results-Hidden'!$B:$B,ROW(P22)-ROW($P$3)),Results,8,FALSE)),"",IF(ISBLANK(VLOOKUP(SMALL('Results-Hidden'!$B:$B,ROW(P22)-ROW($P$3)),Results,8,FALSE)),"",(VLOOKUP(SMALL('Results-Hidden'!$B:$B,ROW(P22)-ROW($P$3)),Results,8,FALSE))))</f>
        <v/>
      </c>
      <c r="F21" s="64" t="s">
        <v>558</v>
      </c>
      <c r="G21" s="177"/>
      <c r="H21" s="177"/>
      <c r="I21" s="177"/>
      <c r="J21" s="177"/>
      <c r="K21" s="29"/>
      <c r="L21" s="29"/>
      <c r="M21" s="29"/>
      <c r="N21" s="22" t="str">
        <f>IF(ISERROR(VLOOKUP(SMALL('Problems-hidden'!$B:$B,ROW(O22)-ROW($P$3)),ResultsTable,6,FALSE)),"",IF(ISBLANK(VLOOKUP(SMALL('Problems-hidden'!$B:$B,ROW(O22)-ROW($P$3)),ResultsTable,6,FALSE)),"",(VLOOKUP(SMALL('Problems-hidden'!$B:$B,ROW(O22)-ROW($P$3)),ResultsTable,6,FALSE))))</f>
        <v/>
      </c>
      <c r="O21" s="252" t="str">
        <f>IF(ISERROR(VLOOKUP(SMALL('Problems-hidden'!$B:$B,ROW(O22)-ROW($P$3)),ResultsTable,7,FALSE)),"",IF(ISBLANK(VLOOKUP(SMALL('Problems-hidden'!$B:$B,ROW(O22)-ROW($P$3)),ResultsTable,7,FALSE)),"",(VLOOKUP(SMALL('Problems-hidden'!$B:$B,ROW(O22)-ROW($P$3)),ResultsTable,7,FALSE))))</f>
        <v/>
      </c>
      <c r="P21" s="29"/>
      <c r="Q21" s="252"/>
    </row>
    <row r="22" spans="1:17" s="167" customFormat="1" ht="18" customHeight="1" x14ac:dyDescent="0.2">
      <c r="A22" s="22"/>
      <c r="B22" s="251" t="str">
        <f>IF(ISERROR(VLOOKUP(SMALL('Results-Hidden'!$B:$B,ROW(O23)-ROW($P$3)),Results,5,FALSE)),"",IF(ISBLANK(VLOOKUP(SMALL('Results-Hidden'!$B:$B,ROW(O23)-ROW($P$3)),Results,5,FALSE)),"",(VLOOKUP(SMALL('Results-Hidden'!$B:$B,ROW(O23)-ROW($P$3)),Results,5,FALSE))))</f>
        <v/>
      </c>
      <c r="C22" s="29" t="str">
        <f>IF(ISERROR(VLOOKUP(SMALL('Results-Hidden'!$B:$B,ROW(P23)-ROW($P$3)),Results,6,FALSE)),"",IF(ISBLANK(VLOOKUP(SMALL('Results-Hidden'!$B:$B,ROW(P23)-ROW($P$3)),Results,6,FALSE)),"",(VLOOKUP(SMALL('Results-Hidden'!$B:$B,ROW(P23)-ROW($P$3)),Results,6,FALSE))))</f>
        <v/>
      </c>
      <c r="D22" s="313" t="str">
        <f>IF(ISERROR(VLOOKUP(SMALL('Results-Hidden'!$B:$B,ROW(P23)-ROW($P$3)),Results,7,FALSE)),"",IF(ISBLANK(VLOOKUP(SMALL('Results-Hidden'!$B:$B,ROW(P23)-ROW($P$3)),Results,7,FALSE)),"",(VLOOKUP(SMALL('Results-Hidden'!$B:$B,ROW(P23)-ROW($P$3)),Results,7,FALSE))))</f>
        <v/>
      </c>
      <c r="E22" s="259" t="str">
        <f>IF(ISERROR(VLOOKUP(SMALL('Results-Hidden'!$B:$B,ROW(P23)-ROW($P$3)),Results,8,FALSE)),"",IF(ISBLANK(VLOOKUP(SMALL('Results-Hidden'!$B:$B,ROW(P23)-ROW($P$3)),Results,8,FALSE)),"",(VLOOKUP(SMALL('Results-Hidden'!$B:$B,ROW(P23)-ROW($P$3)),Results,8,FALSE))))</f>
        <v/>
      </c>
      <c r="F22" s="64"/>
      <c r="G22" s="177" t="s">
        <v>556</v>
      </c>
      <c r="H22" s="177"/>
      <c r="I22" s="177"/>
      <c r="J22" s="177"/>
      <c r="K22" s="29">
        <f>'Scheduling-Hidden'!J4</f>
        <v>8</v>
      </c>
      <c r="L22" s="29" t="str">
        <f>'Scheduling-Hidden'!J5</f>
        <v/>
      </c>
      <c r="M22" s="29" t="str">
        <f>'Scheduling-Hidden'!J6</f>
        <v/>
      </c>
      <c r="N22" s="22" t="str">
        <f>IF(ISERROR(VLOOKUP(SMALL('Problems-hidden'!$B:$B,ROW(O23)-ROW($P$3)),ResultsTable,6,FALSE)),"",IF(ISBLANK(VLOOKUP(SMALL('Problems-hidden'!$B:$B,ROW(O23)-ROW($P$3)),ResultsTable,6,FALSE)),"",(VLOOKUP(SMALL('Problems-hidden'!$B:$B,ROW(O23)-ROW($P$3)),ResultsTable,6,FALSE))))</f>
        <v/>
      </c>
      <c r="O22" s="252" t="str">
        <f>IF(ISERROR(VLOOKUP(SMALL('Problems-hidden'!$B:$B,ROW(O23)-ROW($P$3)),ResultsTable,7,FALSE)),"",IF(ISBLANK(VLOOKUP(SMALL('Problems-hidden'!$B:$B,ROW(O23)-ROW($P$3)),ResultsTable,7,FALSE)),"",(VLOOKUP(SMALL('Problems-hidden'!$B:$B,ROW(O23)-ROW($P$3)),ResultsTable,7,FALSE))))</f>
        <v/>
      </c>
      <c r="P22" s="29"/>
      <c r="Q22" s="252"/>
    </row>
    <row r="23" spans="1:17" s="167" customFormat="1" ht="18" customHeight="1" x14ac:dyDescent="0.2">
      <c r="A23" s="22"/>
      <c r="B23" s="251" t="str">
        <f>IF(ISERROR(VLOOKUP(SMALL('Results-Hidden'!$B:$B,ROW(O24)-ROW($P$3)),Results,5,FALSE)),"",IF(ISBLANK(VLOOKUP(SMALL('Results-Hidden'!$B:$B,ROW(O24)-ROW($P$3)),Results,5,FALSE)),"",(VLOOKUP(SMALL('Results-Hidden'!$B:$B,ROW(O24)-ROW($P$3)),Results,5,FALSE))))</f>
        <v xml:space="preserve">          ESTIMATE OF RUNOFF (percent of applied water)  . . . . . . . . . . . . . . . . . . . . . . . . . . . . . .</v>
      </c>
      <c r="C23" s="29">
        <f>IF(ISERROR(VLOOKUP(SMALL('Results-Hidden'!$B:$B,ROW(P24)-ROW($P$3)),Results,6,FALSE)),"",IF(ISBLANK(VLOOKUP(SMALL('Results-Hidden'!$B:$B,ROW(P24)-ROW($P$3)),Results,6,FALSE)),"",(VLOOKUP(SMALL('Results-Hidden'!$B:$B,ROW(P24)-ROW($P$3)),Results,6,FALSE))))</f>
        <v>0</v>
      </c>
      <c r="D23" s="313" t="str">
        <f>IF(ISERROR(VLOOKUP(SMALL('Results-Hidden'!$B:$B,ROW(P24)-ROW($P$3)),Results,7,FALSE)),"",IF(ISBLANK(VLOOKUP(SMALL('Results-Hidden'!$B:$B,ROW(P24)-ROW($P$3)),Results,7,FALSE)),"",(VLOOKUP(SMALL('Results-Hidden'!$B:$B,ROW(P24)-ROW($P$3)),Results,7,FALSE))))</f>
        <v>%</v>
      </c>
      <c r="E23" s="259" t="str">
        <f>IF(ISERROR(VLOOKUP(SMALL('Results-Hidden'!$B:$B,ROW(P24)-ROW($P$3)),Results,8,FALSE)),"",IF(ISBLANK(VLOOKUP(SMALL('Results-Hidden'!$B:$B,ROW(P24)-ROW($P$3)),Results,8,FALSE)),"",(VLOOKUP(SMALL('Results-Hidden'!$B:$B,ROW(P24)-ROW($P$3)),Results,8,FALSE))))</f>
        <v/>
      </c>
      <c r="F23" s="64"/>
      <c r="G23" s="177" t="s">
        <v>557</v>
      </c>
      <c r="H23" s="177"/>
      <c r="I23" s="177"/>
      <c r="J23" s="177"/>
      <c r="K23" s="29">
        <f>IF('Scheduling-Hidden'!K4="","",'Scheduling-Hidden'!K4*24)</f>
        <v>168</v>
      </c>
      <c r="L23" s="29" t="str">
        <f>IF('Scheduling-Hidden'!K5="","",'Scheduling-Hidden'!K5*24)</f>
        <v/>
      </c>
      <c r="M23" s="29" t="str">
        <f>IF('Scheduling-Hidden'!K6="","",'Scheduling-Hidden'!K6*24)</f>
        <v/>
      </c>
      <c r="N23" s="22" t="str">
        <f>IF(ISERROR(VLOOKUP(SMALL('Problems-hidden'!$B:$B,ROW(O24)-ROW($P$3)),ResultsTable,6,FALSE)),"",IF(ISBLANK(VLOOKUP(SMALL('Problems-hidden'!$B:$B,ROW(O24)-ROW($P$3)),ResultsTable,6,FALSE)),"",(VLOOKUP(SMALL('Problems-hidden'!$B:$B,ROW(O24)-ROW($P$3)),ResultsTable,6,FALSE))))</f>
        <v/>
      </c>
      <c r="O23" s="252" t="str">
        <f>IF(ISERROR(VLOOKUP(SMALL('Problems-hidden'!$B:$B,ROW(O24)-ROW($P$3)),ResultsTable,7,FALSE)),"",IF(ISBLANK(VLOOKUP(SMALL('Problems-hidden'!$B:$B,ROW(O24)-ROW($P$3)),ResultsTable,7,FALSE)),"",(VLOOKUP(SMALL('Problems-hidden'!$B:$B,ROW(O24)-ROW($P$3)),ResultsTable,7,FALSE))))</f>
        <v/>
      </c>
      <c r="P23" s="29"/>
      <c r="Q23" s="252"/>
    </row>
    <row r="24" spans="1:17" s="167" customFormat="1" ht="18" customHeight="1" x14ac:dyDescent="0.2">
      <c r="A24" s="22"/>
      <c r="B24" s="251" t="str">
        <f>IF(ISERROR(VLOOKUP(SMALL('Results-Hidden'!$B:$B,ROW(O25)-ROW($P$3)),Results,5,FALSE)),"",IF(ISBLANK(VLOOKUP(SMALL('Results-Hidden'!$B:$B,ROW(O25)-ROW($P$3)),Results,5,FALSE)),"",(VLOOKUP(SMALL('Results-Hidden'!$B:$B,ROW(O25)-ROW($P$3)),Results,5,FALSE))))</f>
        <v/>
      </c>
      <c r="C24" s="29" t="str">
        <f>IF(ISERROR(VLOOKUP(SMALL('Results-Hidden'!$B:$B,ROW(P25)-ROW($P$3)),Results,6,FALSE)),"",IF(ISBLANK(VLOOKUP(SMALL('Results-Hidden'!$B:$B,ROW(P25)-ROW($P$3)),Results,6,FALSE)),"",(VLOOKUP(SMALL('Results-Hidden'!$B:$B,ROW(P25)-ROW($P$3)),Results,6,FALSE))))</f>
        <v/>
      </c>
      <c r="D24" s="313" t="str">
        <f>IF(ISERROR(VLOOKUP(SMALL('Results-Hidden'!$B:$B,ROW(P25)-ROW($P$3)),Results,7,FALSE)),"",IF(ISBLANK(VLOOKUP(SMALL('Results-Hidden'!$B:$B,ROW(P25)-ROW($P$3)),Results,7,FALSE)),"",(VLOOKUP(SMALL('Results-Hidden'!$B:$B,ROW(P25)-ROW($P$3)),Results,7,FALSE))))</f>
        <v/>
      </c>
      <c r="E24" s="259" t="str">
        <f>IF(ISERROR(VLOOKUP(SMALL('Results-Hidden'!$B:$B,ROW(P25)-ROW($P$3)),Results,8,FALSE)),"",IF(ISBLANK(VLOOKUP(SMALL('Results-Hidden'!$B:$B,ROW(P25)-ROW($P$3)),Results,8,FALSE)),"",(VLOOKUP(SMALL('Results-Hidden'!$B:$B,ROW(P25)-ROW($P$3)),Results,8,FALSE))))</f>
        <v/>
      </c>
      <c r="F24" s="64"/>
      <c r="N24" s="22" t="str">
        <f>IF(ISERROR(VLOOKUP(SMALL('Problems-hidden'!$B:$B,ROW(O25)-ROW($P$3)),ResultsTable,6,FALSE)),"",IF(ISBLANK(VLOOKUP(SMALL('Problems-hidden'!$B:$B,ROW(O25)-ROW($P$3)),ResultsTable,6,FALSE)),"",(VLOOKUP(SMALL('Problems-hidden'!$B:$B,ROW(O25)-ROW($P$3)),ResultsTable,6,FALSE))))</f>
        <v/>
      </c>
      <c r="O24" s="252" t="str">
        <f>IF(ISERROR(VLOOKUP(SMALL('Problems-hidden'!$B:$B,ROW(O25)-ROW($P$3)),ResultsTable,7,FALSE)),"",IF(ISBLANK(VLOOKUP(SMALL('Problems-hidden'!$B:$B,ROW(O25)-ROW($P$3)),ResultsTable,7,FALSE)),"",(VLOOKUP(SMALL('Problems-hidden'!$B:$B,ROW(O25)-ROW($P$3)),ResultsTable,7,FALSE))))</f>
        <v/>
      </c>
      <c r="P24" s="29"/>
      <c r="Q24" s="252"/>
    </row>
    <row r="25" spans="1:17" s="167" customFormat="1" ht="18" customHeight="1" x14ac:dyDescent="0.2">
      <c r="A25" s="22"/>
      <c r="B25" s="251" t="str">
        <f>IF(ISERROR(VLOOKUP(SMALL('Results-Hidden'!$B:$B,ROW(O26)-ROW($P$3)),Results,5,FALSE)),"",IF(ISBLANK(VLOOKUP(SMALL('Results-Hidden'!$B:$B,ROW(O26)-ROW($P$3)),Results,5,FALSE)),"",(VLOOKUP(SMALL('Results-Hidden'!$B:$B,ROW(O26)-ROW($P$3)),Results,5,FALSE))))</f>
        <v/>
      </c>
      <c r="C25" s="29" t="str">
        <f>IF(ISERROR(VLOOKUP(SMALL('Results-Hidden'!$B:$B,ROW(P26)-ROW($P$3)),Results,6,FALSE)),"",IF(ISBLANK(VLOOKUP(SMALL('Results-Hidden'!$B:$B,ROW(P26)-ROW($P$3)),Results,6,FALSE)),"",(VLOOKUP(SMALL('Results-Hidden'!$B:$B,ROW(P26)-ROW($P$3)),Results,6,FALSE))))</f>
        <v/>
      </c>
      <c r="D25" s="313" t="str">
        <f>IF(ISERROR(VLOOKUP(SMALL('Results-Hidden'!$B:$B,ROW(P26)-ROW($P$3)),Results,7,FALSE)),"",IF(ISBLANK(VLOOKUP(SMALL('Results-Hidden'!$B:$B,ROW(P26)-ROW($P$3)),Results,7,FALSE)),"",(VLOOKUP(SMALL('Results-Hidden'!$B:$B,ROW(P26)-ROW($P$3)),Results,7,FALSE))))</f>
        <v/>
      </c>
      <c r="E25" s="216" t="str">
        <f>IF(ISERROR(VLOOKUP(SMALL('Results-Hidden'!$B:$B,ROW(P26)-ROW($P$3)),Results,8,FALSE)),"",IF(ISBLANK(VLOOKUP(SMALL('Results-Hidden'!$B:$B,ROW(P26)-ROW($P$3)),Results,8,FALSE)),"",(VLOOKUP(SMALL('Results-Hidden'!$B:$B,ROW(P26)-ROW($P$3)),Results,8,FALSE))))</f>
        <v/>
      </c>
      <c r="F25" s="64"/>
      <c r="N25" s="22" t="str">
        <f>IF(ISERROR(VLOOKUP(SMALL('Problems-hidden'!$B:$B,ROW(O26)-ROW($P$3)),ResultsTable,6,FALSE)),"",IF(ISBLANK(VLOOKUP(SMALL('Problems-hidden'!$B:$B,ROW(O26)-ROW($P$3)),ResultsTable,6,FALSE)),"",(VLOOKUP(SMALL('Problems-hidden'!$B:$B,ROW(O26)-ROW($P$3)),ResultsTable,6,FALSE))))</f>
        <v/>
      </c>
      <c r="O25" s="252" t="str">
        <f>IF(ISERROR(VLOOKUP(SMALL('Problems-hidden'!$B:$B,ROW(O26)-ROW($P$3)),ResultsTable,7,FALSE)),"",IF(ISBLANK(VLOOKUP(SMALL('Problems-hidden'!$B:$B,ROW(O26)-ROW($P$3)),ResultsTable,7,FALSE)),"",(VLOOKUP(SMALL('Problems-hidden'!$B:$B,ROW(O26)-ROW($P$3)),ResultsTable,7,FALSE))))</f>
        <v/>
      </c>
      <c r="P25" s="29"/>
      <c r="Q25" s="252"/>
    </row>
    <row r="26" spans="1:17" s="167" customFormat="1" ht="18" customHeight="1" x14ac:dyDescent="0.25">
      <c r="A26"/>
      <c r="B26" s="251" t="str">
        <f>IF(ISERROR(VLOOKUP(SMALL('Results-Hidden'!$B:$B,ROW(O27)-ROW($P$3)),Results,5,FALSE)),"",IF(ISBLANK(VLOOKUP(SMALL('Results-Hidden'!$B:$B,ROW(O27)-ROW($P$3)),Results,5,FALSE)),"",(VLOOKUP(SMALL('Results-Hidden'!$B:$B,ROW(O27)-ROW($P$3)),Results,5,FALSE))))</f>
        <v/>
      </c>
      <c r="C26" s="29" t="str">
        <f>IF(ISERROR(VLOOKUP(SMALL('Results-Hidden'!$B:$B,ROW(P27)-ROW($P$3)),Results,6,FALSE)),"",IF(ISBLANK(VLOOKUP(SMALL('Results-Hidden'!$B:$B,ROW(P27)-ROW($P$3)),Results,6,FALSE)),"",(VLOOKUP(SMALL('Results-Hidden'!$B:$B,ROW(P27)-ROW($P$3)),Results,6,FALSE))))</f>
        <v/>
      </c>
      <c r="D26" s="313" t="str">
        <f>IF(ISERROR(VLOOKUP(SMALL('Results-Hidden'!$B:$B,ROW(P27)-ROW($P$3)),Results,7,FALSE)),"",IF(ISBLANK(VLOOKUP(SMALL('Results-Hidden'!$B:$B,ROW(P27)-ROW($P$3)),Results,7,FALSE)),"",(VLOOKUP(SMALL('Results-Hidden'!$B:$B,ROW(P27)-ROW($P$3)),Results,7,FALSE))))</f>
        <v/>
      </c>
      <c r="E26" s="216" t="str">
        <f>IF(ISERROR(VLOOKUP(SMALL('Results-Hidden'!$B:$B,ROW(P27)-ROW($P$3)),Results,8,FALSE)),"",IF(ISBLANK(VLOOKUP(SMALL('Results-Hidden'!$B:$B,ROW(P27)-ROW($P$3)),Results,8,FALSE)),"",(VLOOKUP(SMALL('Results-Hidden'!$B:$B,ROW(P27)-ROW($P$3)),Results,8,FALSE))))</f>
        <v/>
      </c>
      <c r="F26" s="64"/>
      <c r="N26" s="22" t="str">
        <f>IF(ISERROR(VLOOKUP(SMALL('Problems-hidden'!$B:$B,ROW(O27)-ROW($P$3)),ResultsTable,6,FALSE)),"",IF(ISBLANK(VLOOKUP(SMALL('Problems-hidden'!$B:$B,ROW(O27)-ROW($P$3)),ResultsTable,6,FALSE)),"",(VLOOKUP(SMALL('Problems-hidden'!$B:$B,ROW(O27)-ROW($P$3)),ResultsTable,6,FALSE))))</f>
        <v/>
      </c>
      <c r="O26" s="252" t="str">
        <f>IF(ISERROR(VLOOKUP(SMALL('Problems-hidden'!$B:$B,ROW(O27)-ROW($P$3)),ResultsTable,7,FALSE)),"",IF(ISBLANK(VLOOKUP(SMALL('Problems-hidden'!$B:$B,ROW(O27)-ROW($P$3)),ResultsTable,7,FALSE)),"",(VLOOKUP(SMALL('Problems-hidden'!$B:$B,ROW(O27)-ROW($P$3)),ResultsTable,7,FALSE))))</f>
        <v/>
      </c>
      <c r="P26" s="29"/>
      <c r="Q26" s="252"/>
    </row>
    <row r="27" spans="1:17" s="167" customFormat="1" ht="18" customHeight="1" x14ac:dyDescent="0.25">
      <c r="A27"/>
      <c r="B27" s="251" t="str">
        <f>IF(ISERROR(VLOOKUP(SMALL('Results-Hidden'!$B:$B,ROW(O28)-ROW($P$3)),Results,5,FALSE)),"",IF(ISBLANK(VLOOKUP(SMALL('Results-Hidden'!$B:$B,ROW(O28)-ROW($P$3)),Results,5,FALSE)),"",(VLOOKUP(SMALL('Results-Hidden'!$B:$B,ROW(O28)-ROW($P$3)),Results,5,FALSE))))</f>
        <v/>
      </c>
      <c r="C27" s="29" t="str">
        <f>IF(ISERROR(VLOOKUP(SMALL('Results-Hidden'!$B:$B,ROW(P28)-ROW($P$3)),Results,6,FALSE)),"",IF(ISBLANK(VLOOKUP(SMALL('Results-Hidden'!$B:$B,ROW(P28)-ROW($P$3)),Results,6,FALSE)),"",(VLOOKUP(SMALL('Results-Hidden'!$B:$B,ROW(P28)-ROW($P$3)),Results,6,FALSE))))</f>
        <v/>
      </c>
      <c r="D27" s="313" t="str">
        <f>IF(ISERROR(VLOOKUP(SMALL('Results-Hidden'!$B:$B,ROW(P28)-ROW($P$3)),Results,7,FALSE)),"",IF(ISBLANK(VLOOKUP(SMALL('Results-Hidden'!$B:$B,ROW(P28)-ROW($P$3)),Results,7,FALSE)),"",(VLOOKUP(SMALL('Results-Hidden'!$B:$B,ROW(P28)-ROW($P$3)),Results,7,FALSE))))</f>
        <v/>
      </c>
      <c r="E27" s="216" t="str">
        <f>IF(ISERROR(VLOOKUP(SMALL('Results-Hidden'!$B:$B,ROW(P28)-ROW($P$3)),Results,8,FALSE)),"",IF(ISBLANK(VLOOKUP(SMALL('Results-Hidden'!$B:$B,ROW(P28)-ROW($P$3)),Results,8,FALSE)),"",(VLOOKUP(SMALL('Results-Hidden'!$B:$B,ROW(P28)-ROW($P$3)),Results,8,FALSE))))</f>
        <v/>
      </c>
      <c r="F27" s="64"/>
      <c r="N27" s="22" t="str">
        <f>IF(ISERROR(VLOOKUP(SMALL('Problems-hidden'!$B:$B,ROW(O28)-ROW($P$3)),ResultsTable,6,FALSE)),"",IF(ISBLANK(VLOOKUP(SMALL('Problems-hidden'!$B:$B,ROW(O28)-ROW($P$3)),ResultsTable,6,FALSE)),"",(VLOOKUP(SMALL('Problems-hidden'!$B:$B,ROW(O28)-ROW($P$3)),ResultsTable,6,FALSE))))</f>
        <v/>
      </c>
      <c r="O27" s="252" t="str">
        <f>IF(ISERROR(VLOOKUP(SMALL('Problems-hidden'!$B:$B,ROW(O28)-ROW($P$3)),ResultsTable,7,FALSE)),"",IF(ISBLANK(VLOOKUP(SMALL('Problems-hidden'!$B:$B,ROW(O28)-ROW($P$3)),ResultsTable,7,FALSE)),"",(VLOOKUP(SMALL('Problems-hidden'!$B:$B,ROW(O28)-ROW($P$3)),ResultsTable,7,FALSE))))</f>
        <v/>
      </c>
      <c r="P27" s="29"/>
      <c r="Q27" s="252"/>
    </row>
    <row r="28" spans="1:17" s="167" customFormat="1" ht="18" customHeight="1" x14ac:dyDescent="0.25">
      <c r="A28"/>
      <c r="B28" s="251" t="str">
        <f>IF(ISERROR(VLOOKUP(SMALL('Results-Hidden'!$B:$B,ROW(O29)-ROW($P$3)),Results,5,FALSE)),"",IF(ISBLANK(VLOOKUP(SMALL('Results-Hidden'!$B:$B,ROW(O29)-ROW($P$3)),Results,5,FALSE)),"",(VLOOKUP(SMALL('Results-Hidden'!$B:$B,ROW(O29)-ROW($P$3)),Results,5,FALSE))))</f>
        <v/>
      </c>
      <c r="C28" s="29" t="str">
        <f>IF(ISERROR(VLOOKUP(SMALL('Results-Hidden'!$B:$B,ROW(P29)-ROW($P$3)),Results,6,FALSE)),"",IF(ISBLANK(VLOOKUP(SMALL('Results-Hidden'!$B:$B,ROW(P29)-ROW($P$3)),Results,6,FALSE)),"",(VLOOKUP(SMALL('Results-Hidden'!$B:$B,ROW(P29)-ROW($P$3)),Results,6,FALSE))))</f>
        <v/>
      </c>
      <c r="D28" s="313" t="str">
        <f>IF(ISERROR(VLOOKUP(SMALL('Results-Hidden'!$B:$B,ROW(P29)-ROW($P$3)),Results,7,FALSE)),"",IF(ISBLANK(VLOOKUP(SMALL('Results-Hidden'!$B:$B,ROW(P29)-ROW($P$3)),Results,7,FALSE)),"",(VLOOKUP(SMALL('Results-Hidden'!$B:$B,ROW(P29)-ROW($P$3)),Results,7,FALSE))))</f>
        <v/>
      </c>
      <c r="E28" s="216" t="str">
        <f>IF(ISERROR(VLOOKUP(SMALL('Results-Hidden'!$B:$B,ROW(P29)-ROW($P$3)),Results,8,FALSE)),"",IF(ISBLANK(VLOOKUP(SMALL('Results-Hidden'!$B:$B,ROW(P29)-ROW($P$3)),Results,8,FALSE)),"",(VLOOKUP(SMALL('Results-Hidden'!$B:$B,ROW(P29)-ROW($P$3)),Results,8,FALSE))))</f>
        <v/>
      </c>
      <c r="F28" s="64"/>
      <c r="N28" s="22" t="str">
        <f>IF(ISERROR(VLOOKUP(SMALL('Problems-hidden'!$B:$B,ROW(O29)-ROW($P$3)),ResultsTable,6,FALSE)),"",IF(ISBLANK(VLOOKUP(SMALL('Problems-hidden'!$B:$B,ROW(O29)-ROW($P$3)),ResultsTable,6,FALSE)),"",(VLOOKUP(SMALL('Problems-hidden'!$B:$B,ROW(O29)-ROW($P$3)),ResultsTable,6,FALSE))))</f>
        <v/>
      </c>
      <c r="O28" s="252" t="str">
        <f>IF(ISERROR(VLOOKUP(SMALL('Problems-hidden'!$B:$B,ROW(O29)-ROW($P$3)),ResultsTable,7,FALSE)),"",IF(ISBLANK(VLOOKUP(SMALL('Problems-hidden'!$B:$B,ROW(O29)-ROW($P$3)),ResultsTable,7,FALSE)),"",(VLOOKUP(SMALL('Problems-hidden'!$B:$B,ROW(O29)-ROW($P$3)),ResultsTable,7,FALSE))))</f>
        <v/>
      </c>
      <c r="P28" s="29"/>
      <c r="Q28" s="252"/>
    </row>
    <row r="29" spans="1:17" ht="18" customHeight="1" x14ac:dyDescent="0.25">
      <c r="B29" s="251" t="str">
        <f>IF(ISERROR(VLOOKUP(SMALL('Results-Hidden'!$B:$B,ROW(O30)-ROW($P$3)),Results,5,FALSE)),"",IF(ISBLANK(VLOOKUP(SMALL('Results-Hidden'!$B:$B,ROW(O30)-ROW($P$3)),Results,5,FALSE)),"",(VLOOKUP(SMALL('Results-Hidden'!$B:$B,ROW(O30)-ROW($P$3)),Results,5,FALSE))))</f>
        <v/>
      </c>
      <c r="C29" s="29" t="str">
        <f>IF(ISERROR(VLOOKUP(SMALL('Results-Hidden'!$B:$B,ROW(P30)-ROW($P$3)),Results,6,FALSE)),"",IF(ISBLANK(VLOOKUP(SMALL('Results-Hidden'!$B:$B,ROW(P30)-ROW($P$3)),Results,6,FALSE)),"",(VLOOKUP(SMALL('Results-Hidden'!$B:$B,ROW(P30)-ROW($P$3)),Results,6,FALSE))))</f>
        <v/>
      </c>
      <c r="D29" s="313" t="str">
        <f>IF(ISERROR(VLOOKUP(SMALL('Results-Hidden'!$B:$B,ROW(P30)-ROW($P$3)),Results,7,FALSE)),"",IF(ISBLANK(VLOOKUP(SMALL('Results-Hidden'!$B:$B,ROW(P30)-ROW($P$3)),Results,7,FALSE)),"",(VLOOKUP(SMALL('Results-Hidden'!$B:$B,ROW(P30)-ROW($P$3)),Results,7,FALSE))))</f>
        <v/>
      </c>
      <c r="E29" s="216" t="str">
        <f>IF(ISERROR(VLOOKUP(SMALL('Results-Hidden'!$B:$B,ROW(P30)-ROW($P$3)),Results,8,FALSE)),"",IF(ISBLANK(VLOOKUP(SMALL('Results-Hidden'!$B:$B,ROW(P30)-ROW($P$3)),Results,8,FALSE)),"",(VLOOKUP(SMALL('Results-Hidden'!$B:$B,ROW(P30)-ROW($P$3)),Results,8,FALSE))))</f>
        <v/>
      </c>
      <c r="N29" s="22" t="str">
        <f>IF(ISERROR(VLOOKUP(SMALL('Problems-hidden'!$B:$B,ROW(O30)-ROW($P$3)),ResultsTable,6,FALSE)),"",IF(ISBLANK(VLOOKUP(SMALL('Problems-hidden'!$B:$B,ROW(O30)-ROW($P$3)),ResultsTable,6,FALSE)),"",(VLOOKUP(SMALL('Problems-hidden'!$B:$B,ROW(O30)-ROW($P$3)),ResultsTable,6,FALSE))))</f>
        <v/>
      </c>
      <c r="O29" s="252" t="str">
        <f>IF(ISERROR(VLOOKUP(SMALL('Problems-hidden'!$B:$B,ROW(O30)-ROW($P$3)),ResultsTable,7,FALSE)),"",IF(ISBLANK(VLOOKUP(SMALL('Problems-hidden'!$B:$B,ROW(O30)-ROW($P$3)),ResultsTable,7,FALSE)),"",(VLOOKUP(SMALL('Problems-hidden'!$B:$B,ROW(O30)-ROW($P$3)),ResultsTable,7,FALSE))))</f>
        <v/>
      </c>
      <c r="P29" s="29"/>
      <c r="Q29" s="252"/>
    </row>
    <row r="30" spans="1:17" ht="18" customHeight="1" x14ac:dyDescent="0.25">
      <c r="B30" s="251" t="str">
        <f>IF(ISERROR(VLOOKUP(SMALL('Results-Hidden'!$B:$B,ROW(O31)-ROW($P$3)),Results,5,FALSE)),"",IF(ISBLANK(VLOOKUP(SMALL('Results-Hidden'!$B:$B,ROW(O31)-ROW($P$3)),Results,5,FALSE)),"",(VLOOKUP(SMALL('Results-Hidden'!$B:$B,ROW(O31)-ROW($P$3)),Results,5,FALSE))))</f>
        <v/>
      </c>
      <c r="C30" s="29" t="str">
        <f>IF(ISERROR(VLOOKUP(SMALL('Results-Hidden'!$B:$B,ROW(P31)-ROW($P$3)),Results,6,FALSE)),"",IF(ISBLANK(VLOOKUP(SMALL('Results-Hidden'!$B:$B,ROW(P31)-ROW($P$3)),Results,6,FALSE)),"",(VLOOKUP(SMALL('Results-Hidden'!$B:$B,ROW(P31)-ROW($P$3)),Results,6,FALSE))))</f>
        <v/>
      </c>
      <c r="D30" s="313" t="str">
        <f>IF(ISERROR(VLOOKUP(SMALL('Results-Hidden'!$B:$B,ROW(P31)-ROW($P$3)),Results,7,FALSE)),"",IF(ISBLANK(VLOOKUP(SMALL('Results-Hidden'!$B:$B,ROW(P31)-ROW($P$3)),Results,7,FALSE)),"",(VLOOKUP(SMALL('Results-Hidden'!$B:$B,ROW(P31)-ROW($P$3)),Results,7,FALSE))))</f>
        <v/>
      </c>
      <c r="E30" s="216" t="str">
        <f>IF(ISERROR(VLOOKUP(SMALL('Results-Hidden'!$B:$B,ROW(P31)-ROW($P$3)),Results,8,FALSE)),"",IF(ISBLANK(VLOOKUP(SMALL('Results-Hidden'!$B:$B,ROW(P31)-ROW($P$3)),Results,8,FALSE)),"",(VLOOKUP(SMALL('Results-Hidden'!$B:$B,ROW(P31)-ROW($P$3)),Results,8,FALSE))))</f>
        <v/>
      </c>
      <c r="N30" s="22" t="str">
        <f>IF(ISERROR(VLOOKUP(SMALL('Problems-hidden'!$B:$B,ROW(O31)-ROW($P$3)),ResultsTable,6,FALSE)),"",IF(ISBLANK(VLOOKUP(SMALL('Problems-hidden'!$B:$B,ROW(O31)-ROW($P$3)),ResultsTable,6,FALSE)),"",(VLOOKUP(SMALL('Problems-hidden'!$B:$B,ROW(O31)-ROW($P$3)),ResultsTable,6,FALSE))))</f>
        <v/>
      </c>
      <c r="O30" s="252" t="str">
        <f>IF(ISERROR(VLOOKUP(SMALL('Problems-hidden'!$B:$B,ROW(O31)-ROW($P$3)),ResultsTable,7,FALSE)),"",IF(ISBLANK(VLOOKUP(SMALL('Problems-hidden'!$B:$B,ROW(O31)-ROW($P$3)),ResultsTable,7,FALSE)),"",(VLOOKUP(SMALL('Problems-hidden'!$B:$B,ROW(O31)-ROW($P$3)),ResultsTable,7,FALSE))))</f>
        <v/>
      </c>
      <c r="P30" s="29"/>
      <c r="Q30" s="252"/>
    </row>
    <row r="31" spans="1:17" ht="18" customHeight="1" x14ac:dyDescent="0.25">
      <c r="N31" s="22" t="str">
        <f>IF(ISERROR(VLOOKUP(SMALL('Problems-hidden'!$B:$B,ROW(O32)-ROW($P$3)),ResultsTable,6,FALSE)),"",IF(ISBLANK(VLOOKUP(SMALL('Problems-hidden'!$B:$B,ROW(O32)-ROW($P$3)),ResultsTable,6,FALSE)),"",(VLOOKUP(SMALL('Problems-hidden'!$B:$B,ROW(O32)-ROW($P$3)),ResultsTable,6,FALSE))))</f>
        <v/>
      </c>
      <c r="O31" s="252" t="str">
        <f>IF(ISERROR(VLOOKUP(SMALL('Problems-hidden'!$B:$B,ROW(O32)-ROW($P$3)),ResultsTable,7,FALSE)),"",IF(ISBLANK(VLOOKUP(SMALL('Problems-hidden'!$B:$B,ROW(O32)-ROW($P$3)),ResultsTable,7,FALSE)),"",(VLOOKUP(SMALL('Problems-hidden'!$B:$B,ROW(O32)-ROW($P$3)),ResultsTable,7,FALSE))))</f>
        <v/>
      </c>
      <c r="P31" s="29"/>
      <c r="Q31" s="252"/>
    </row>
    <row r="32" spans="1:17" ht="18" customHeight="1" x14ac:dyDescent="0.25">
      <c r="N32" s="22" t="str">
        <f>IF(ISERROR(VLOOKUP(SMALL('Problems-hidden'!$B:$B,ROW(O33)-ROW($P$3)),ResultsTable,6,FALSE)),"",IF(ISBLANK(VLOOKUP(SMALL('Problems-hidden'!$B:$B,ROW(O33)-ROW($P$3)),ResultsTable,6,FALSE)),"",(VLOOKUP(SMALL('Problems-hidden'!$B:$B,ROW(O33)-ROW($P$3)),ResultsTable,6,FALSE))))</f>
        <v/>
      </c>
      <c r="O32" s="252" t="str">
        <f>IF(ISERROR(VLOOKUP(SMALL('Problems-hidden'!$B:$B,ROW(O33)-ROW($P$3)),ResultsTable,7,FALSE)),"",IF(ISBLANK(VLOOKUP(SMALL('Problems-hidden'!$B:$B,ROW(O33)-ROW($P$3)),ResultsTable,7,FALSE)),"",(VLOOKUP(SMALL('Problems-hidden'!$B:$B,ROW(O33)-ROW($P$3)),ResultsTable,7,FALSE))))</f>
        <v/>
      </c>
      <c r="P32" s="29"/>
      <c r="Q32" s="252"/>
    </row>
    <row r="33" spans="14:17" ht="18" customHeight="1" x14ac:dyDescent="0.25">
      <c r="N33" s="22" t="str">
        <f>IF(ISERROR(VLOOKUP(SMALL('Problems-hidden'!$B:$B,ROW(O34)-ROW($P$3)),ResultsTable,6,FALSE)),"",IF(ISBLANK(VLOOKUP(SMALL('Problems-hidden'!$B:$B,ROW(O34)-ROW($P$3)),ResultsTable,6,FALSE)),"",(VLOOKUP(SMALL('Problems-hidden'!$B:$B,ROW(O34)-ROW($P$3)),ResultsTable,6,FALSE))))</f>
        <v/>
      </c>
      <c r="O33" s="252" t="str">
        <f>IF(ISERROR(VLOOKUP(SMALL('Problems-hidden'!$B:$B,ROW(O34)-ROW($P$3)),ResultsTable,7,FALSE)),"",IF(ISBLANK(VLOOKUP(SMALL('Problems-hidden'!$B:$B,ROW(O34)-ROW($P$3)),ResultsTable,7,FALSE)),"",(VLOOKUP(SMALL('Problems-hidden'!$B:$B,ROW(O34)-ROW($P$3)),ResultsTable,7,FALSE))))</f>
        <v/>
      </c>
      <c r="P33" s="29"/>
      <c r="Q33" s="252"/>
    </row>
    <row r="34" spans="14:17" ht="18" customHeight="1" x14ac:dyDescent="0.25">
      <c r="N34" s="22" t="str">
        <f>IF(ISERROR(VLOOKUP(SMALL('Problems-hidden'!$B:$B,ROW(O35)-ROW($P$3)),ResultsTable,6,FALSE)),"",IF(ISBLANK(VLOOKUP(SMALL('Problems-hidden'!$B:$B,ROW(O35)-ROW($P$3)),ResultsTable,6,FALSE)),"",(VLOOKUP(SMALL('Problems-hidden'!$B:$B,ROW(O35)-ROW($P$3)),ResultsTable,6,FALSE))))</f>
        <v/>
      </c>
      <c r="O34" s="252" t="str">
        <f>IF(ISERROR(VLOOKUP(SMALL('Problems-hidden'!$B:$B,ROW(O35)-ROW($P$3)),ResultsTable,7,FALSE)),"",IF(ISBLANK(VLOOKUP(SMALL('Problems-hidden'!$B:$B,ROW(O35)-ROW($P$3)),ResultsTable,7,FALSE)),"",(VLOOKUP(SMALL('Problems-hidden'!$B:$B,ROW(O35)-ROW($P$3)),ResultsTable,7,FALSE))))</f>
        <v/>
      </c>
      <c r="P34" s="29"/>
      <c r="Q34" s="252"/>
    </row>
    <row r="35" spans="14:17" ht="18" customHeight="1" x14ac:dyDescent="0.25">
      <c r="N35" s="22" t="str">
        <f>IF(ISERROR(VLOOKUP(SMALL('Problems-hidden'!$B:$B,ROW(O36)-ROW($P$3)),ResultsTable,6,FALSE)),"",IF(ISBLANK(VLOOKUP(SMALL('Problems-hidden'!$B:$B,ROW(O36)-ROW($P$3)),ResultsTable,6,FALSE)),"",(VLOOKUP(SMALL('Problems-hidden'!$B:$B,ROW(O36)-ROW($P$3)),ResultsTable,6,FALSE))))</f>
        <v/>
      </c>
      <c r="O35" s="252" t="str">
        <f>IF(ISERROR(VLOOKUP(SMALL('Problems-hidden'!$B:$B,ROW(O36)-ROW($P$3)),ResultsTable,7,FALSE)),"",IF(ISBLANK(VLOOKUP(SMALL('Problems-hidden'!$B:$B,ROW(O36)-ROW($P$3)),ResultsTable,7,FALSE)),"",(VLOOKUP(SMALL('Problems-hidden'!$B:$B,ROW(O36)-ROW($P$3)),ResultsTable,7,FALSE))))</f>
        <v/>
      </c>
      <c r="P35" s="29"/>
      <c r="Q35" s="252"/>
    </row>
    <row r="36" spans="14:17" ht="18" customHeight="1" x14ac:dyDescent="0.25">
      <c r="N36" s="22" t="str">
        <f>IF(ISERROR(VLOOKUP(SMALL('Problems-hidden'!$B:$B,ROW(O37)-ROW($P$3)),ResultsTable,6,FALSE)),"",IF(ISBLANK(VLOOKUP(SMALL('Problems-hidden'!$B:$B,ROW(O37)-ROW($P$3)),ResultsTable,6,FALSE)),"",(VLOOKUP(SMALL('Problems-hidden'!$B:$B,ROW(O37)-ROW($P$3)),ResultsTable,6,FALSE))))</f>
        <v/>
      </c>
      <c r="O36" s="252" t="str">
        <f>IF(ISERROR(VLOOKUP(SMALL('Problems-hidden'!$B:$B,ROW(O37)-ROW($P$3)),ResultsTable,7,FALSE)),"",IF(ISBLANK(VLOOKUP(SMALL('Problems-hidden'!$B:$B,ROW(O37)-ROW($P$3)),ResultsTable,7,FALSE)),"",(VLOOKUP(SMALL('Problems-hidden'!$B:$B,ROW(O37)-ROW($P$3)),ResultsTable,7,FALSE))))</f>
        <v/>
      </c>
      <c r="P36" s="29"/>
      <c r="Q36" s="252"/>
    </row>
    <row r="37" spans="14:17" ht="18" customHeight="1" x14ac:dyDescent="0.25">
      <c r="N37" s="22" t="str">
        <f>IF(ISERROR(VLOOKUP(SMALL('Problems-hidden'!$B:$B,ROW(O38)-ROW($P$3)),ResultsTable,6,FALSE)),"",IF(ISBLANK(VLOOKUP(SMALL('Problems-hidden'!$B:$B,ROW(O38)-ROW($P$3)),ResultsTable,6,FALSE)),"",(VLOOKUP(SMALL('Problems-hidden'!$B:$B,ROW(O38)-ROW($P$3)),ResultsTable,6,FALSE))))</f>
        <v/>
      </c>
      <c r="O37" s="252" t="str">
        <f>IF(ISERROR(VLOOKUP(SMALL('Problems-hidden'!$B:$B,ROW(O38)-ROW($P$3)),ResultsTable,7,FALSE)),"",IF(ISBLANK(VLOOKUP(SMALL('Problems-hidden'!$B:$B,ROW(O38)-ROW($P$3)),ResultsTable,7,FALSE)),"",(VLOOKUP(SMALL('Problems-hidden'!$B:$B,ROW(O38)-ROW($P$3)),ResultsTable,7,FALSE))))</f>
        <v/>
      </c>
      <c r="P37" s="29"/>
      <c r="Q37" s="252"/>
    </row>
    <row r="38" spans="14:17" ht="18" customHeight="1" x14ac:dyDescent="0.25">
      <c r="N38" s="22" t="str">
        <f>IF(ISERROR(VLOOKUP(SMALL('Problems-hidden'!$B:$B,ROW(O39)-ROW($P$3)),ResultsTable,6,FALSE)),"",IF(ISBLANK(VLOOKUP(SMALL('Problems-hidden'!$B:$B,ROW(O39)-ROW($P$3)),ResultsTable,6,FALSE)),"",(VLOOKUP(SMALL('Problems-hidden'!$B:$B,ROW(O39)-ROW($P$3)),ResultsTable,6,FALSE))))</f>
        <v/>
      </c>
      <c r="O38" s="252" t="str">
        <f>IF(ISERROR(VLOOKUP(SMALL('Problems-hidden'!$B:$B,ROW(O39)-ROW($P$3)),ResultsTable,7,FALSE)),"",IF(ISBLANK(VLOOKUP(SMALL('Problems-hidden'!$B:$B,ROW(O39)-ROW($P$3)),ResultsTable,7,FALSE)),"",(VLOOKUP(SMALL('Problems-hidden'!$B:$B,ROW(O39)-ROW($P$3)),ResultsTable,7,FALSE))))</f>
        <v/>
      </c>
      <c r="P38" s="29"/>
      <c r="Q38" s="252"/>
    </row>
    <row r="39" spans="14:17" ht="18" customHeight="1" x14ac:dyDescent="0.25">
      <c r="N39" s="22" t="str">
        <f>IF(ISERROR(VLOOKUP(SMALL('Problems-hidden'!$B:$B,ROW(O40)-ROW($P$3)),ResultsTable,6,FALSE)),"",IF(ISBLANK(VLOOKUP(SMALL('Problems-hidden'!$B:$B,ROW(O40)-ROW($P$3)),ResultsTable,6,FALSE)),"",(VLOOKUP(SMALL('Problems-hidden'!$B:$B,ROW(O40)-ROW($P$3)),ResultsTable,6,FALSE))))</f>
        <v/>
      </c>
      <c r="O39" s="252" t="str">
        <f>IF(ISERROR(VLOOKUP(SMALL('Problems-hidden'!$B:$B,ROW(O40)-ROW($P$3)),ResultsTable,7,FALSE)),"",IF(ISBLANK(VLOOKUP(SMALL('Problems-hidden'!$B:$B,ROW(O40)-ROW($P$3)),ResultsTable,7,FALSE)),"",(VLOOKUP(SMALL('Problems-hidden'!$B:$B,ROW(O40)-ROW($P$3)),ResultsTable,7,FALSE))))</f>
        <v/>
      </c>
      <c r="P39" s="29"/>
      <c r="Q39" s="252"/>
    </row>
    <row r="40" spans="14:17" ht="18" customHeight="1" x14ac:dyDescent="0.25">
      <c r="N40" s="22"/>
      <c r="O40" s="252"/>
      <c r="P40" s="29"/>
      <c r="Q40" s="252"/>
    </row>
    <row r="41" spans="14:17" ht="18" customHeight="1" x14ac:dyDescent="0.25">
      <c r="N41" s="22"/>
      <c r="O41" s="252"/>
      <c r="P41" s="29"/>
      <c r="Q41" s="252"/>
    </row>
    <row r="42" spans="14:17" ht="18" customHeight="1" x14ac:dyDescent="0.25">
      <c r="N42" s="22"/>
      <c r="O42" s="252"/>
      <c r="P42" s="29"/>
      <c r="Q42" s="252"/>
    </row>
    <row r="43" spans="14:17" ht="18" customHeight="1" x14ac:dyDescent="0.25">
      <c r="N43" s="22"/>
      <c r="O43" s="252"/>
      <c r="P43" s="29"/>
      <c r="Q43" s="252"/>
    </row>
    <row r="44" spans="14:17" ht="18" customHeight="1" x14ac:dyDescent="0.25">
      <c r="N44" s="22"/>
      <c r="O44" s="252"/>
      <c r="P44" s="29"/>
      <c r="Q44" s="252"/>
    </row>
    <row r="45" spans="14:17" ht="18" customHeight="1" x14ac:dyDescent="0.25">
      <c r="N45" s="22"/>
      <c r="O45" s="252"/>
      <c r="P45" s="29"/>
      <c r="Q45" s="252"/>
    </row>
    <row r="46" spans="14:17" ht="18" customHeight="1" x14ac:dyDescent="0.25">
      <c r="N46" s="22"/>
      <c r="O46" s="252"/>
      <c r="P46" s="29"/>
      <c r="Q46" s="252"/>
    </row>
    <row r="47" spans="14:17" ht="18" customHeight="1" x14ac:dyDescent="0.25">
      <c r="O47" s="188"/>
      <c r="P47" s="29"/>
      <c r="Q47" s="252"/>
    </row>
    <row r="48" spans="14:17" ht="18" customHeight="1" x14ac:dyDescent="0.25">
      <c r="O48" s="188"/>
      <c r="P48" s="29"/>
      <c r="Q48" s="252"/>
    </row>
  </sheetData>
  <sheetProtection password="BF01" sheet="1" objects="1" scenarios="1"/>
  <mergeCells count="6">
    <mergeCell ref="G16:J19"/>
    <mergeCell ref="N1:O1"/>
    <mergeCell ref="F1:J1"/>
    <mergeCell ref="A1:B1"/>
    <mergeCell ref="G5:J5"/>
    <mergeCell ref="G13:J14"/>
  </mergeCells>
  <pageMargins left="0.5" right="0.5" top="0.75" bottom="0.75" header="0.3" footer="0.3"/>
  <pageSetup scale="97" fitToWidth="0" fitToHeight="0" orientation="portrait" horizontalDpi="300" verticalDpi="300" r:id="rId1"/>
  <headerFooter>
    <oddHeader>&amp;CDrip System DU Evaluation
Results Sheet</oddHeader>
    <oddFooter>&amp;C&amp;F
Page &amp;P of &amp;N</oddFooter>
  </headerFooter>
  <colBreaks count="2" manualBreakCount="2">
    <brk id="5" max="38" man="1"/>
    <brk id="13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98"/>
  <sheetViews>
    <sheetView topLeftCell="A177" workbookViewId="0">
      <selection activeCell="F198" sqref="F198"/>
    </sheetView>
  </sheetViews>
  <sheetFormatPr defaultRowHeight="15" x14ac:dyDescent="0.25"/>
  <cols>
    <col min="2" max="2" width="10.5703125" customWidth="1"/>
    <col min="4" max="4" width="12" customWidth="1"/>
    <col min="5" max="5" width="11.140625" customWidth="1"/>
    <col min="8" max="8" width="10.85546875" customWidth="1"/>
    <col min="11" max="11" width="11" customWidth="1"/>
    <col min="14" max="14" width="11.140625" customWidth="1"/>
    <col min="17" max="17" width="10.28515625" customWidth="1"/>
  </cols>
  <sheetData>
    <row r="2" spans="2:6" s="4" customFormat="1" x14ac:dyDescent="0.25">
      <c r="B2" s="200" t="s">
        <v>622</v>
      </c>
    </row>
    <row r="3" spans="2:6" s="4" customFormat="1" ht="14.25" x14ac:dyDescent="0.2">
      <c r="B3" s="186" t="s">
        <v>636</v>
      </c>
    </row>
    <row r="4" spans="2:6" s="4" customFormat="1" ht="14.25" x14ac:dyDescent="0.2">
      <c r="B4" s="186" t="s">
        <v>637</v>
      </c>
    </row>
    <row r="5" spans="2:6" s="186" customFormat="1" ht="14.25" x14ac:dyDescent="0.2">
      <c r="B5" s="186" t="s">
        <v>631</v>
      </c>
      <c r="E5" s="186">
        <f>Data!E127</f>
        <v>70</v>
      </c>
      <c r="F5" s="186" t="s">
        <v>125</v>
      </c>
    </row>
    <row r="6" spans="2:6" s="186" customFormat="1" ht="14.25" x14ac:dyDescent="0.2">
      <c r="B6" s="186" t="s">
        <v>632</v>
      </c>
      <c r="E6" s="186">
        <f>Data!E128</f>
        <v>70</v>
      </c>
      <c r="F6" s="186" t="s">
        <v>125</v>
      </c>
    </row>
    <row r="7" spans="2:6" s="186" customFormat="1" ht="14.25" x14ac:dyDescent="0.2">
      <c r="B7" s="186" t="s">
        <v>634</v>
      </c>
      <c r="C7" s="186">
        <f>E5-E6</f>
        <v>0</v>
      </c>
    </row>
    <row r="8" spans="2:6" s="186" customFormat="1" ht="14.25" x14ac:dyDescent="0.2"/>
    <row r="9" spans="2:6" s="4" customFormat="1" ht="14.25" x14ac:dyDescent="0.2">
      <c r="B9" s="186" t="s">
        <v>638</v>
      </c>
    </row>
    <row r="10" spans="2:6" s="4" customFormat="1" ht="28.5" x14ac:dyDescent="0.2">
      <c r="B10" s="184" t="s">
        <v>633</v>
      </c>
      <c r="C10" s="186" t="s">
        <v>623</v>
      </c>
      <c r="E10" s="186" t="s">
        <v>628</v>
      </c>
      <c r="F10" s="187" t="s">
        <v>633</v>
      </c>
    </row>
    <row r="11" spans="2:6" s="4" customFormat="1" ht="14.25" x14ac:dyDescent="0.2">
      <c r="B11" s="4">
        <v>2</v>
      </c>
      <c r="C11" s="186" t="s">
        <v>624</v>
      </c>
      <c r="E11" s="190" t="str">
        <f>IF(Data!G58=2,"y","")</f>
        <v>y</v>
      </c>
      <c r="F11" s="4">
        <f t="shared" ref="F11:F16" si="0">IF(E11="y",B11,"")</f>
        <v>2</v>
      </c>
    </row>
    <row r="12" spans="2:6" s="4" customFormat="1" ht="14.25" x14ac:dyDescent="0.2">
      <c r="B12" s="4">
        <v>6</v>
      </c>
      <c r="C12" s="186" t="s">
        <v>609</v>
      </c>
      <c r="E12" s="190" t="str">
        <f>IF(Data!G66=2,"y","")</f>
        <v/>
      </c>
      <c r="F12" s="186" t="str">
        <f t="shared" si="0"/>
        <v/>
      </c>
    </row>
    <row r="13" spans="2:6" s="4" customFormat="1" ht="14.25" x14ac:dyDescent="0.2">
      <c r="B13" s="4">
        <v>9</v>
      </c>
      <c r="C13" s="186" t="s">
        <v>625</v>
      </c>
      <c r="E13" s="190" t="str">
        <f>IF(Data!G70=2,"y","")</f>
        <v/>
      </c>
      <c r="F13" s="186" t="str">
        <f t="shared" si="0"/>
        <v/>
      </c>
    </row>
    <row r="14" spans="2:6" s="4" customFormat="1" ht="14.25" x14ac:dyDescent="0.2">
      <c r="B14" s="4">
        <v>6</v>
      </c>
      <c r="C14" s="186" t="s">
        <v>626</v>
      </c>
      <c r="E14" s="190" t="str">
        <f>IF(Data!G74=2,"y","")</f>
        <v/>
      </c>
      <c r="F14" s="186" t="str">
        <f t="shared" si="0"/>
        <v/>
      </c>
    </row>
    <row r="15" spans="2:6" s="4" customFormat="1" ht="14.25" x14ac:dyDescent="0.2">
      <c r="B15" s="4">
        <v>5</v>
      </c>
      <c r="C15" s="186" t="s">
        <v>627</v>
      </c>
      <c r="E15" s="195" t="str">
        <f>IF(Data!G78=2,"y","")</f>
        <v>y</v>
      </c>
      <c r="F15" s="1">
        <f t="shared" si="0"/>
        <v>5</v>
      </c>
    </row>
    <row r="16" spans="2:6" s="186" customFormat="1" thickBot="1" x14ac:dyDescent="0.25">
      <c r="B16" s="196">
        <v>2</v>
      </c>
      <c r="C16" s="196" t="s">
        <v>639</v>
      </c>
      <c r="D16" s="196"/>
      <c r="E16" s="197" t="s">
        <v>521</v>
      </c>
      <c r="F16" s="198">
        <f t="shared" si="0"/>
        <v>2</v>
      </c>
    </row>
    <row r="17" spans="2:7" s="4" customFormat="1" ht="14.25" x14ac:dyDescent="0.2">
      <c r="E17" s="186" t="s">
        <v>629</v>
      </c>
      <c r="F17" s="4">
        <f>SUM(F11:F16)</f>
        <v>9</v>
      </c>
      <c r="G17" s="186" t="s">
        <v>125</v>
      </c>
    </row>
    <row r="18" spans="2:7" s="4" customFormat="1" ht="14.25" x14ac:dyDescent="0.2"/>
    <row r="19" spans="2:7" s="4" customFormat="1" ht="14.25" x14ac:dyDescent="0.2">
      <c r="B19" s="186" t="s">
        <v>630</v>
      </c>
      <c r="C19" s="4">
        <f>F17</f>
        <v>9</v>
      </c>
      <c r="D19" s="186" t="s">
        <v>125</v>
      </c>
    </row>
    <row r="20" spans="2:7" s="4" customFormat="1" ht="14.25" x14ac:dyDescent="0.2"/>
    <row r="21" spans="2:7" s="4" customFormat="1" ht="14.25" x14ac:dyDescent="0.2">
      <c r="B21" s="186" t="s">
        <v>635</v>
      </c>
      <c r="C21" s="199">
        <f>IF(C7-C19&lt;0,0,C7-C19)</f>
        <v>0</v>
      </c>
      <c r="D21" s="186" t="s">
        <v>125</v>
      </c>
    </row>
    <row r="22" spans="2:7" s="186" customFormat="1" ht="14.25" x14ac:dyDescent="0.2">
      <c r="C22" s="199"/>
    </row>
    <row r="23" spans="2:7" s="186" customFormat="1" ht="14.25" x14ac:dyDescent="0.2">
      <c r="B23" s="186" t="s">
        <v>653</v>
      </c>
      <c r="C23" s="199"/>
    </row>
    <row r="24" spans="2:7" s="4" customFormat="1" ht="14.25" x14ac:dyDescent="0.2">
      <c r="B24" s="186" t="s">
        <v>640</v>
      </c>
    </row>
    <row r="25" spans="2:7" s="4" customFormat="1" ht="14.25" x14ac:dyDescent="0.2">
      <c r="B25" s="186" t="s">
        <v>643</v>
      </c>
      <c r="E25" s="4">
        <f>Data!E131</f>
        <v>0</v>
      </c>
      <c r="F25" s="186" t="s">
        <v>125</v>
      </c>
    </row>
    <row r="26" spans="2:7" s="4" customFormat="1" ht="14.25" x14ac:dyDescent="0.2">
      <c r="B26" s="186" t="s">
        <v>641</v>
      </c>
      <c r="C26" s="4">
        <f>IF((E25-C19+2)&lt;0,0,E25-C19+2)</f>
        <v>0</v>
      </c>
      <c r="D26" s="186" t="s">
        <v>125</v>
      </c>
    </row>
    <row r="27" spans="2:7" s="186" customFormat="1" ht="14.25" x14ac:dyDescent="0.2"/>
    <row r="28" spans="2:7" s="186" customFormat="1" ht="14.25" x14ac:dyDescent="0.2">
      <c r="B28" s="186" t="s">
        <v>648</v>
      </c>
    </row>
    <row r="29" spans="2:7" s="186" customFormat="1" ht="14.25" x14ac:dyDescent="0.2">
      <c r="B29" s="186" t="s">
        <v>642</v>
      </c>
      <c r="E29" s="186">
        <f>Data!E132</f>
        <v>0</v>
      </c>
      <c r="F29" s="186" t="s">
        <v>125</v>
      </c>
    </row>
    <row r="30" spans="2:7" s="186" customFormat="1" ht="14.25" x14ac:dyDescent="0.2">
      <c r="B30" s="186" t="s">
        <v>644</v>
      </c>
      <c r="C30" s="186">
        <f>IF(E29-6&lt;0,0,E29-6)</f>
        <v>0</v>
      </c>
      <c r="D30" s="186" t="s">
        <v>125</v>
      </c>
    </row>
    <row r="31" spans="2:7" s="186" customFormat="1" ht="14.25" x14ac:dyDescent="0.2"/>
    <row r="32" spans="2:7" s="186" customFormat="1" ht="14.25" x14ac:dyDescent="0.2">
      <c r="B32" s="186" t="s">
        <v>645</v>
      </c>
    </row>
    <row r="33" spans="2:10" s="186" customFormat="1" ht="14.25" x14ac:dyDescent="0.2">
      <c r="B33" s="186" t="s">
        <v>646</v>
      </c>
      <c r="E33" s="186">
        <f>Data!E133</f>
        <v>0</v>
      </c>
      <c r="F33" s="186" t="s">
        <v>125</v>
      </c>
    </row>
    <row r="34" spans="2:10" s="186" customFormat="1" ht="14.25" x14ac:dyDescent="0.2">
      <c r="B34" s="186" t="s">
        <v>647</v>
      </c>
      <c r="C34" s="186">
        <f>E33</f>
        <v>0</v>
      </c>
      <c r="D34" s="186" t="s">
        <v>125</v>
      </c>
    </row>
    <row r="35" spans="2:10" s="186" customFormat="1" ht="14.25" x14ac:dyDescent="0.2">
      <c r="B35" s="186" t="s">
        <v>650</v>
      </c>
    </row>
    <row r="36" spans="2:10" s="186" customFormat="1" ht="14.25" x14ac:dyDescent="0.2">
      <c r="B36" s="186" t="s">
        <v>651</v>
      </c>
      <c r="C36" s="186">
        <f>C26+C30+C34</f>
        <v>0</v>
      </c>
      <c r="D36" s="186" t="s">
        <v>125</v>
      </c>
    </row>
    <row r="37" spans="2:10" s="186" customFormat="1" ht="14.25" x14ac:dyDescent="0.2"/>
    <row r="38" spans="2:10" s="186" customFormat="1" thickBot="1" x14ac:dyDescent="0.25">
      <c r="B38" s="186" t="s">
        <v>649</v>
      </c>
    </row>
    <row r="39" spans="2:10" s="186" customFormat="1" thickBot="1" x14ac:dyDescent="0.25">
      <c r="B39" s="191" t="s">
        <v>652</v>
      </c>
      <c r="C39" s="202">
        <f>MAX(C36,C21)</f>
        <v>0</v>
      </c>
      <c r="D39" s="192" t="s">
        <v>125</v>
      </c>
    </row>
    <row r="40" spans="2:10" s="186" customFormat="1" ht="14.25" x14ac:dyDescent="0.2"/>
    <row r="42" spans="2:10" ht="15.75" thickBot="1" x14ac:dyDescent="0.3">
      <c r="B42" s="200" t="s">
        <v>663</v>
      </c>
    </row>
    <row r="43" spans="2:10" ht="15.75" thickBot="1" x14ac:dyDescent="0.3">
      <c r="B43" s="101" t="s">
        <v>664</v>
      </c>
      <c r="I43" s="205">
        <f>Data!E24</f>
        <v>0</v>
      </c>
      <c r="J43" s="206" t="s">
        <v>133</v>
      </c>
    </row>
    <row r="45" spans="2:10" x14ac:dyDescent="0.25">
      <c r="B45" s="200" t="s">
        <v>666</v>
      </c>
    </row>
    <row r="46" spans="2:10" x14ac:dyDescent="0.25">
      <c r="B46" t="s">
        <v>667</v>
      </c>
    </row>
    <row r="48" spans="2:10" x14ac:dyDescent="0.25">
      <c r="B48" t="s">
        <v>668</v>
      </c>
      <c r="C48" t="s">
        <v>669</v>
      </c>
    </row>
    <row r="53" spans="2:4" x14ac:dyDescent="0.25">
      <c r="B53" s="207" t="s">
        <v>670</v>
      </c>
      <c r="C53" s="208">
        <f>IF(ISERROR('Scheduling-Hidden'!B70),"",'Scheduling-Hidden'!B70)</f>
        <v>0.99169170775183213</v>
      </c>
      <c r="D53" t="s">
        <v>671</v>
      </c>
    </row>
    <row r="55" spans="2:4" x14ac:dyDescent="0.25">
      <c r="B55" t="s">
        <v>672</v>
      </c>
      <c r="C55" t="s">
        <v>674</v>
      </c>
    </row>
    <row r="56" spans="2:4" x14ac:dyDescent="0.25">
      <c r="B56" t="s">
        <v>682</v>
      </c>
    </row>
    <row r="58" spans="2:4" x14ac:dyDescent="0.25">
      <c r="B58" s="207" t="s">
        <v>673</v>
      </c>
      <c r="C58" s="208">
        <f>IF(ISERROR('DU Computations-Hidden'!I258),"",'DU Computations-Hidden'!I258)</f>
        <v>0.98473494158225339</v>
      </c>
      <c r="D58" t="s">
        <v>681</v>
      </c>
    </row>
    <row r="60" spans="2:4" x14ac:dyDescent="0.25">
      <c r="B60" t="s">
        <v>675</v>
      </c>
    </row>
    <row r="61" spans="2:4" x14ac:dyDescent="0.25">
      <c r="B61" t="s">
        <v>678</v>
      </c>
    </row>
    <row r="63" spans="2:4" x14ac:dyDescent="0.25">
      <c r="B63" s="207" t="s">
        <v>676</v>
      </c>
      <c r="C63" s="208">
        <f>IF(ISERROR('DU Computations-Hidden'!G554),"",'DU Computations-Hidden'!G554)</f>
        <v>0.99583333333333335</v>
      </c>
      <c r="D63" t="s">
        <v>681</v>
      </c>
    </row>
    <row r="65" spans="2:15" x14ac:dyDescent="0.25">
      <c r="B65" t="s">
        <v>677</v>
      </c>
    </row>
    <row r="66" spans="2:15" x14ac:dyDescent="0.25">
      <c r="B66" t="s">
        <v>679</v>
      </c>
    </row>
    <row r="68" spans="2:15" x14ac:dyDescent="0.25">
      <c r="B68" s="207" t="s">
        <v>680</v>
      </c>
      <c r="C68" s="208">
        <f>IF(ISERROR('DU Computations-Hidden'!I513),"",'DU Computations-Hidden'!I513)</f>
        <v>0.99999999999999989</v>
      </c>
      <c r="D68" t="s">
        <v>681</v>
      </c>
    </row>
    <row r="69" spans="2:15" ht="15.75" thickBot="1" x14ac:dyDescent="0.3"/>
    <row r="70" spans="2:15" ht="15.75" thickBot="1" x14ac:dyDescent="0.3">
      <c r="B70" s="209" t="s">
        <v>683</v>
      </c>
      <c r="C70" s="210">
        <f>IF(ISERROR(100*C53*C58*C63*C68),"",100*C53*C58*C63*C68)</f>
        <v>97.248450308435295</v>
      </c>
    </row>
    <row r="73" spans="2:15" s="180" customFormat="1" x14ac:dyDescent="0.25">
      <c r="B73" s="204" t="s">
        <v>563</v>
      </c>
      <c r="O73"/>
    </row>
    <row r="74" spans="2:15" s="84" customFormat="1" ht="14.25" x14ac:dyDescent="0.2">
      <c r="B74" s="180" t="s">
        <v>562</v>
      </c>
    </row>
    <row r="75" spans="2:15" s="180" customFormat="1" ht="14.25" x14ac:dyDescent="0.2">
      <c r="B75" s="180" t="s">
        <v>566</v>
      </c>
    </row>
    <row r="76" spans="2:15" s="180" customFormat="1" ht="14.25" x14ac:dyDescent="0.2">
      <c r="B76" s="180" t="s">
        <v>564</v>
      </c>
      <c r="D76" s="180">
        <f>IF(ISERROR(AVERAGE('DU Computations-Hidden'!G300:G315)),"",AVERAGE('DU Computations-Hidden'!G300:G315))</f>
        <v>3.8737499999999994</v>
      </c>
      <c r="E76" s="180" t="s">
        <v>8</v>
      </c>
    </row>
    <row r="77" spans="2:15" s="180" customFormat="1" ht="14.25" x14ac:dyDescent="0.2">
      <c r="B77" s="180" t="s">
        <v>565</v>
      </c>
      <c r="D77" s="180">
        <f>IF(ISERROR(STDEV('DU Computations-Hidden'!G300:G315)),"",STDEV('DU Computations-Hidden'!G300:G315))</f>
        <v>0.30981446060505302</v>
      </c>
      <c r="E77" s="180" t="s">
        <v>8</v>
      </c>
    </row>
    <row r="78" spans="2:15" s="180" customFormat="1" ht="14.25" x14ac:dyDescent="0.2">
      <c r="B78" s="180" t="s">
        <v>567</v>
      </c>
      <c r="D78" s="180">
        <f>IF(ISERROR(D77/D76),"",D77/D76)</f>
        <v>7.9977918194269915E-2</v>
      </c>
    </row>
    <row r="79" spans="2:15" s="180" customFormat="1" ht="14.25" x14ac:dyDescent="0.2"/>
    <row r="80" spans="2:15" s="180" customFormat="1" ht="14.25" x14ac:dyDescent="0.2">
      <c r="B80" s="180" t="s">
        <v>568</v>
      </c>
    </row>
    <row r="81" spans="2:6" s="180" customFormat="1" ht="14.25" x14ac:dyDescent="0.2">
      <c r="B81" s="180" t="s">
        <v>564</v>
      </c>
      <c r="D81" s="180">
        <f>IF(ISERROR(AVERAGE('DU Computations-Hidden'!G323:G338)),"",AVERAGE('DU Computations-Hidden'!G323:G338))</f>
        <v>4.0714285714285712</v>
      </c>
      <c r="E81" s="180" t="s">
        <v>8</v>
      </c>
    </row>
    <row r="82" spans="2:6" s="180" customFormat="1" ht="14.25" x14ac:dyDescent="0.2">
      <c r="B82" s="180" t="s">
        <v>565</v>
      </c>
      <c r="D82" s="180">
        <f>IF(ISERROR(STDEV('DU Computations-Hidden'!G323:G338)),"",STDEV('DU Computations-Hidden'!G323:G338))</f>
        <v>0.20283702113484389</v>
      </c>
      <c r="E82" s="180" t="s">
        <v>8</v>
      </c>
    </row>
    <row r="83" spans="2:6" s="180" customFormat="1" ht="14.25" x14ac:dyDescent="0.2">
      <c r="B83" s="180" t="s">
        <v>569</v>
      </c>
      <c r="D83" s="180">
        <f>IF(ISERROR(D82/D81),"",D82/D81)</f>
        <v>4.9819619226102015E-2</v>
      </c>
    </row>
    <row r="84" spans="2:6" s="180" customFormat="1" ht="14.25" x14ac:dyDescent="0.2"/>
    <row r="85" spans="2:6" s="180" customFormat="1" ht="14.25" x14ac:dyDescent="0.2">
      <c r="B85" s="180" t="s">
        <v>570</v>
      </c>
    </row>
    <row r="86" spans="2:6" s="180" customFormat="1" ht="14.25" x14ac:dyDescent="0.2">
      <c r="B86" s="180" t="s">
        <v>564</v>
      </c>
      <c r="D86" s="180">
        <f>IF(ISERROR(AVERAGE('DU Computations-Hidden'!G346:G373)),"",)</f>
        <v>0</v>
      </c>
      <c r="E86" s="180" t="s">
        <v>8</v>
      </c>
    </row>
    <row r="87" spans="2:6" s="180" customFormat="1" ht="14.25" x14ac:dyDescent="0.2">
      <c r="B87" s="180" t="s">
        <v>565</v>
      </c>
      <c r="D87" s="180">
        <f>IF(ISERROR(STDEV('DU Computations-Hidden'!G346:G373)),"",STDEV('DU Computations-Hidden'!G346:G373))</f>
        <v>0.19433647796197873</v>
      </c>
      <c r="E87" s="180" t="s">
        <v>8</v>
      </c>
    </row>
    <row r="88" spans="2:6" s="180" customFormat="1" ht="14.25" x14ac:dyDescent="0.2">
      <c r="B88" s="180" t="s">
        <v>571</v>
      </c>
      <c r="D88" s="180" t="str">
        <f>IF(ISERROR(D87/D86),"",D87/D86)</f>
        <v/>
      </c>
    </row>
    <row r="89" spans="2:6" s="180" customFormat="1" thickBot="1" x14ac:dyDescent="0.25"/>
    <row r="90" spans="2:6" s="180" customFormat="1" thickBot="1" x14ac:dyDescent="0.25">
      <c r="B90" s="191" t="s">
        <v>572</v>
      </c>
      <c r="C90" s="201"/>
      <c r="D90" s="201"/>
      <c r="E90" s="201"/>
      <c r="F90" s="192">
        <f>IF(ISERROR(AVERAGE(D88,D83,D78)),"",AVERAGE(D88,D83,D78))</f>
        <v>6.4898768710185961E-2</v>
      </c>
    </row>
    <row r="91" spans="2:6" s="180" customFormat="1" ht="14.25" x14ac:dyDescent="0.2"/>
    <row r="92" spans="2:6" s="180" customFormat="1" ht="14.25" x14ac:dyDescent="0.2">
      <c r="B92" s="180" t="s">
        <v>573</v>
      </c>
    </row>
    <row r="93" spans="2:6" s="180" customFormat="1" ht="14.25" x14ac:dyDescent="0.2">
      <c r="B93" s="180" t="s">
        <v>574</v>
      </c>
    </row>
    <row r="94" spans="2:6" s="180" customFormat="1" ht="14.25" x14ac:dyDescent="0.2">
      <c r="B94" s="180" t="s">
        <v>575</v>
      </c>
    </row>
    <row r="95" spans="2:6" s="180" customFormat="1" ht="14.25" x14ac:dyDescent="0.2">
      <c r="C95" s="180" t="s">
        <v>576</v>
      </c>
    </row>
    <row r="96" spans="2:6" s="180" customFormat="1" ht="14.25" x14ac:dyDescent="0.2">
      <c r="C96" s="180" t="s">
        <v>577</v>
      </c>
    </row>
    <row r="97" spans="2:4" s="180" customFormat="1" ht="14.25" x14ac:dyDescent="0.2">
      <c r="B97" s="180" t="s">
        <v>578</v>
      </c>
    </row>
    <row r="98" spans="2:4" s="180" customFormat="1" ht="14.25" x14ac:dyDescent="0.2">
      <c r="B98" s="180" t="s">
        <v>579</v>
      </c>
    </row>
    <row r="99" spans="2:4" s="84" customFormat="1" ht="14.25" x14ac:dyDescent="0.2">
      <c r="B99" s="180" t="s">
        <v>580</v>
      </c>
    </row>
    <row r="100" spans="2:4" s="4" customFormat="1" ht="14.25" x14ac:dyDescent="0.2"/>
    <row r="101" spans="2:4" s="186" customFormat="1" ht="14.25" x14ac:dyDescent="0.2">
      <c r="B101" s="186" t="s">
        <v>603</v>
      </c>
    </row>
    <row r="102" spans="2:4" s="186" customFormat="1" ht="14.25" x14ac:dyDescent="0.2">
      <c r="B102" s="186" t="s">
        <v>581</v>
      </c>
      <c r="D102" s="190" t="str">
        <f>IF(Data!G517&gt;2,"y","")</f>
        <v/>
      </c>
    </row>
    <row r="103" spans="2:4" s="186" customFormat="1" ht="14.25" x14ac:dyDescent="0.2">
      <c r="B103" s="186" t="s">
        <v>582</v>
      </c>
      <c r="D103" s="190" t="str">
        <f>IF(Data!G523&gt;2,"y","")</f>
        <v/>
      </c>
    </row>
    <row r="104" spans="2:4" s="186" customFormat="1" ht="14.25" x14ac:dyDescent="0.2">
      <c r="B104" s="186" t="s">
        <v>583</v>
      </c>
      <c r="D104" s="190" t="str">
        <f>IF(Data!G529&gt;3,"y","")</f>
        <v/>
      </c>
    </row>
    <row r="105" spans="2:4" s="186" customFormat="1" ht="14.25" x14ac:dyDescent="0.2">
      <c r="B105" s="186" t="s">
        <v>584</v>
      </c>
      <c r="D105" s="190" t="str">
        <f>IF(Data!G535&gt;3,"y","")</f>
        <v/>
      </c>
    </row>
    <row r="106" spans="2:4" s="186" customFormat="1" thickBot="1" x14ac:dyDescent="0.25">
      <c r="B106" s="186" t="s">
        <v>585</v>
      </c>
      <c r="D106" s="190" t="str">
        <f>IF(Data!G541&gt;3,"y","")</f>
        <v/>
      </c>
    </row>
    <row r="107" spans="2:4" s="186" customFormat="1" thickBot="1" x14ac:dyDescent="0.25">
      <c r="B107" s="1"/>
      <c r="C107" s="193" t="s">
        <v>655</v>
      </c>
      <c r="D107" s="203" t="str">
        <f>IF(OR(D102="y",D103="y",D104="y",D105="y",D106="y"),"y","")</f>
        <v/>
      </c>
    </row>
    <row r="108" spans="2:4" s="186" customFormat="1" ht="14.25" x14ac:dyDescent="0.2"/>
    <row r="109" spans="2:4" s="186" customFormat="1" ht="14.25" x14ac:dyDescent="0.2"/>
    <row r="110" spans="2:4" s="186" customFormat="1" ht="14.25" x14ac:dyDescent="0.2"/>
    <row r="111" spans="2:4" s="186" customFormat="1" ht="14.25" x14ac:dyDescent="0.2"/>
    <row r="112" spans="2:4" s="186" customFormat="1" ht="14.25" x14ac:dyDescent="0.2"/>
    <row r="113" spans="2:29" s="186" customFormat="1" ht="14.25" x14ac:dyDescent="0.2">
      <c r="B113" s="186" t="s">
        <v>587</v>
      </c>
      <c r="E113" s="318">
        <f>IF(ISERROR(D81),"",D81)</f>
        <v>4.0714285714285712</v>
      </c>
      <c r="F113" s="186" t="s">
        <v>8</v>
      </c>
    </row>
    <row r="114" spans="2:29" s="186" customFormat="1" ht="14.25" x14ac:dyDescent="0.2">
      <c r="B114" s="186" t="s">
        <v>588</v>
      </c>
      <c r="E114" s="318">
        <f>IF(ISERROR(D76),"",D76)</f>
        <v>3.8737499999999994</v>
      </c>
      <c r="F114" s="186" t="s">
        <v>8</v>
      </c>
    </row>
    <row r="115" spans="2:29" s="186" customFormat="1" ht="14.25" x14ac:dyDescent="0.2">
      <c r="B115" s="186" t="s">
        <v>589</v>
      </c>
      <c r="E115" s="318">
        <f>IF(ISERROR(Data!E293),"",Data!E293)</f>
        <v>65</v>
      </c>
      <c r="F115" s="186" t="s">
        <v>125</v>
      </c>
    </row>
    <row r="116" spans="2:29" s="186" customFormat="1" ht="14.25" x14ac:dyDescent="0.2">
      <c r="B116" s="186" t="s">
        <v>590</v>
      </c>
      <c r="E116" s="318">
        <f>IF(ISERROR(Data!E352),"",Data!E352)</f>
        <v>36</v>
      </c>
      <c r="F116" s="186" t="s">
        <v>125</v>
      </c>
    </row>
    <row r="117" spans="2:29" s="186" customFormat="1" ht="14.25" x14ac:dyDescent="0.2">
      <c r="B117" s="186" t="s">
        <v>591</v>
      </c>
    </row>
    <row r="118" spans="2:29" s="186" customFormat="1" ht="14.25" x14ac:dyDescent="0.2"/>
    <row r="119" spans="2:29" s="186" customFormat="1" ht="43.5" thickBot="1" x14ac:dyDescent="0.25">
      <c r="B119" s="184" t="s">
        <v>592</v>
      </c>
      <c r="C119" s="184" t="s">
        <v>593</v>
      </c>
      <c r="D119" s="184" t="s">
        <v>594</v>
      </c>
    </row>
    <row r="120" spans="2:29" s="186" customFormat="1" x14ac:dyDescent="0.25">
      <c r="B120" s="318">
        <f>IF(ISERROR('DU Computations-Hidden'!J184),"",'DU Computations-Hidden'!J184)</f>
        <v>0.5</v>
      </c>
      <c r="C120" s="318">
        <f>IF(ISERROR('DU Computations-Hidden'!K184),"",'DU Computations-Hidden'!K184)</f>
        <v>1.1988087880923093E-2</v>
      </c>
      <c r="D120" s="90"/>
      <c r="Q120" s="408" t="s">
        <v>350</v>
      </c>
      <c r="R120" s="409"/>
      <c r="S120" s="409"/>
      <c r="T120" s="409"/>
      <c r="U120" s="409"/>
      <c r="V120" s="410"/>
      <c r="W120" s="408" t="s">
        <v>351</v>
      </c>
      <c r="X120" s="409"/>
      <c r="Y120" s="409"/>
      <c r="Z120" s="409"/>
      <c r="AA120" s="409"/>
      <c r="AB120" s="410"/>
    </row>
    <row r="121" spans="2:29" s="186" customFormat="1" x14ac:dyDescent="0.25">
      <c r="D121" s="318">
        <f>AC123</f>
        <v>3.8737499999999998</v>
      </c>
      <c r="E121" s="186" t="s">
        <v>595</v>
      </c>
      <c r="Q121" s="115"/>
      <c r="R121" s="116">
        <f>'DU Computations-Hidden'!Y174</f>
        <v>15</v>
      </c>
      <c r="S121" s="116">
        <f>'DU Computations-Hidden'!Y175</f>
        <v>31</v>
      </c>
      <c r="T121" s="116">
        <f>'DU Computations-Hidden'!Y176</f>
        <v>46</v>
      </c>
      <c r="U121" s="116">
        <f>'DU Computations-Hidden'!Y177</f>
        <v>54</v>
      </c>
      <c r="V121" s="117">
        <f>'DU Computations-Hidden'!Y178</f>
        <v>65</v>
      </c>
      <c r="W121" s="115"/>
      <c r="X121" s="116">
        <f>'DU Computations-Hidden'!R183</f>
        <v>15</v>
      </c>
      <c r="Y121" s="116">
        <f>'DU Computations-Hidden'!S183</f>
        <v>31</v>
      </c>
      <c r="Z121" s="116">
        <f>'DU Computations-Hidden'!T183</f>
        <v>46</v>
      </c>
      <c r="AA121" s="116">
        <f>'DU Computations-Hidden'!U183</f>
        <v>54</v>
      </c>
      <c r="AB121" s="117">
        <f>'DU Computations-Hidden'!V183</f>
        <v>65</v>
      </c>
    </row>
    <row r="122" spans="2:29" s="186" customFormat="1" ht="15.75" thickBot="1" x14ac:dyDescent="0.3">
      <c r="D122" s="318">
        <f>AC124</f>
        <v>3.7791666666666668</v>
      </c>
      <c r="E122" s="186" t="s">
        <v>596</v>
      </c>
      <c r="Q122" s="118">
        <f>'DU Computations-Hidden'!Y174</f>
        <v>15</v>
      </c>
      <c r="R122" s="119">
        <f>'DU Computations-Hidden'!Y175</f>
        <v>31</v>
      </c>
      <c r="S122" s="119">
        <f>'DU Computations-Hidden'!Y176</f>
        <v>46</v>
      </c>
      <c r="T122" s="119">
        <f>'DU Computations-Hidden'!Y177</f>
        <v>54</v>
      </c>
      <c r="U122" s="119">
        <f>'DU Computations-Hidden'!Y178</f>
        <v>65</v>
      </c>
      <c r="V122" s="120"/>
      <c r="W122" s="118">
        <f>'DU Computations-Hidden'!Q184</f>
        <v>15</v>
      </c>
      <c r="X122" s="119">
        <f>'DU Computations-Hidden'!R184</f>
        <v>31</v>
      </c>
      <c r="Y122" s="119">
        <f>'DU Computations-Hidden'!S184</f>
        <v>46</v>
      </c>
      <c r="Z122" s="119">
        <f>'DU Computations-Hidden'!T184</f>
        <v>54</v>
      </c>
      <c r="AA122" s="119">
        <f>'DU Computations-Hidden'!U184</f>
        <v>65</v>
      </c>
      <c r="AB122" s="120"/>
      <c r="AC122" s="186" t="s">
        <v>8</v>
      </c>
    </row>
    <row r="123" spans="2:29" s="186" customFormat="1" x14ac:dyDescent="0.25">
      <c r="Q123" s="185">
        <f>IF(E115&lt;$Q$122,1,0)</f>
        <v>0</v>
      </c>
      <c r="R123" s="185">
        <f>IF(AND($E115&gt;=$R$121,$E115&lt;$R$122),1,0)</f>
        <v>0</v>
      </c>
      <c r="S123" s="185">
        <f>IF(AND($E115&gt;=$S$121,$E115&lt;$S$122),1,0)</f>
        <v>0</v>
      </c>
      <c r="T123" s="185">
        <f>IF(AND($E115&gt;=$T$121,$E115&lt;$T$122),1,0)</f>
        <v>0</v>
      </c>
      <c r="U123" s="185">
        <f>IF(AND($E115&gt;=$U$121,$E115&lt;$U$122),1,0)</f>
        <v>0</v>
      </c>
      <c r="V123" s="185">
        <f>IF(E115&gt;=$V$121,1,0)</f>
        <v>1</v>
      </c>
      <c r="W123" s="185">
        <f>IF(Q123=1,'DU Computations-Hidden'!$R$174,0)</f>
        <v>0</v>
      </c>
      <c r="X123" s="185">
        <f>IF(R123=1,'DU Computations-Hidden'!$R$174+'DU Computations-Hidden'!$T$174*($E115-$R$121),0)</f>
        <v>0</v>
      </c>
      <c r="Y123" s="185">
        <f>IF(S123=1,'DU Computations-Hidden'!$R$175+'DU Computations-Hidden'!$T$175*($E115-$S$121),0)</f>
        <v>0</v>
      </c>
      <c r="Z123" s="185">
        <f>IF(T123=1,'DU Computations-Hidden'!$R$176+'DU Computations-Hidden'!$T$176*($E115-$T$121),0)</f>
        <v>0</v>
      </c>
      <c r="AA123" s="185">
        <f>IF(U123=1,'DU Computations-Hidden'!$R$177+'DU Computations-Hidden'!$T$177*($E115-$U$121),0)</f>
        <v>0</v>
      </c>
      <c r="AB123" s="185">
        <f>IF(V123=1,'DU Computations-Hidden'!$R$178,0)</f>
        <v>3.8737499999999998</v>
      </c>
      <c r="AC123" s="186">
        <f>IF(E115&gt;0,MAX(W123:AB123),0)</f>
        <v>3.8737499999999998</v>
      </c>
    </row>
    <row r="124" spans="2:29" s="186" customFormat="1" x14ac:dyDescent="0.25">
      <c r="Q124" s="185">
        <f>IF(E116&lt;$Q$122,1,0)</f>
        <v>0</v>
      </c>
      <c r="R124" s="185">
        <f>IF(AND($E116&gt;=$R$121,$E116&lt;$R$122),1,0)</f>
        <v>0</v>
      </c>
      <c r="S124" s="185">
        <f>IF(AND($E116&gt;=$S$121,$E116&lt;$S$122),1,0)</f>
        <v>1</v>
      </c>
      <c r="T124" s="185">
        <f>IF(AND($E116&gt;=$T$121,$E116&lt;$T$122),1,0)</f>
        <v>0</v>
      </c>
      <c r="U124" s="185">
        <f>IF(AND($E116&gt;=$U$121,$E116&lt;$U$122),1,0)</f>
        <v>0</v>
      </c>
      <c r="V124" s="185">
        <f>IF(E116&gt;=$V$121,1,0)</f>
        <v>0</v>
      </c>
      <c r="W124" s="185">
        <f>IF(Q124=1,'DU Computations-Hidden'!$R$174,0)</f>
        <v>0</v>
      </c>
      <c r="X124" s="185">
        <f>IF(R124=1,'DU Computations-Hidden'!$R$174+'DU Computations-Hidden'!$T$174*($E116-$R$121),0)</f>
        <v>0</v>
      </c>
      <c r="Y124" s="185">
        <f>IF(S124=1,'DU Computations-Hidden'!$R$175+'DU Computations-Hidden'!$T$175*($E116-$S$121),0)</f>
        <v>3.7791666666666668</v>
      </c>
      <c r="Z124" s="185">
        <f>IF(T124=1,'DU Computations-Hidden'!$R$176+'DU Computations-Hidden'!$T$176*($E116-$T$121),0)</f>
        <v>0</v>
      </c>
      <c r="AA124" s="185">
        <f>IF(U124=1,'DU Computations-Hidden'!$R$177+'DU Computations-Hidden'!$T$177*($E116-$U$121),0)</f>
        <v>0</v>
      </c>
      <c r="AB124" s="185">
        <f>IF(V124=1,'DU Computations-Hidden'!$R$178,0)</f>
        <v>0</v>
      </c>
      <c r="AC124" s="186">
        <f>IF(E116&gt;0,MAX(W124:AB124),0)</f>
        <v>3.7791666666666668</v>
      </c>
    </row>
    <row r="125" spans="2:29" s="186" customFormat="1" ht="14.25" x14ac:dyDescent="0.2"/>
    <row r="126" spans="2:29" s="186" customFormat="1" ht="14.25" x14ac:dyDescent="0.2"/>
    <row r="127" spans="2:29" s="186" customFormat="1" ht="14.25" x14ac:dyDescent="0.2">
      <c r="B127" s="318">
        <f>IF(ISERROR((E115/E116)^B120),"",(E115/E116)^B120)</f>
        <v>1.3437096247164249</v>
      </c>
      <c r="C127" s="318">
        <f>IF(ISERROR((E115/E116)^C120),"",(E115/E116)^C120)</f>
        <v>1.0071085279689569</v>
      </c>
      <c r="D127" s="318">
        <f>IF(ISERROR(D121/D122),"",D121/D122)</f>
        <v>1.0250275633958104</v>
      </c>
    </row>
    <row r="128" spans="2:29" s="186" customFormat="1" ht="14.25" x14ac:dyDescent="0.2"/>
    <row r="129" spans="2:5" s="186" customFormat="1" ht="14.25" x14ac:dyDescent="0.2">
      <c r="B129" s="186" t="s">
        <v>597</v>
      </c>
    </row>
    <row r="130" spans="2:5" s="186" customFormat="1" ht="14.25" x14ac:dyDescent="0.2">
      <c r="B130" s="318">
        <f>IF(ISERROR($E$113/$E$114*B127),"",$E$113/$E$114*B127)</f>
        <v>1.4122795115260447</v>
      </c>
      <c r="C130" s="318">
        <f>IF(ISERROR($E$113/$E$114*C127),"",$E$113/$E$114*C127)</f>
        <v>1.0585015644536127</v>
      </c>
      <c r="D130" s="318">
        <f>IF(ISERROR($E$113/$E$114*D127),"",$E$113/$E$114*D127)</f>
        <v>1.0773350133879351</v>
      </c>
    </row>
    <row r="131" spans="2:5" s="186" customFormat="1" ht="14.25" x14ac:dyDescent="0.2"/>
    <row r="132" spans="2:5" s="186" customFormat="1" thickBot="1" x14ac:dyDescent="0.25">
      <c r="B132" s="186" t="s">
        <v>598</v>
      </c>
      <c r="D132" s="318">
        <f>IF(ISERROR('DU Computations-Hidden'!I256),"",'DU Computations-Hidden'!I256)</f>
        <v>3</v>
      </c>
      <c r="E132" s="318" t="str">
        <f>IF(D132=1,"st case: x=0.5",IF(D132=2,"nd case: not PC, x unknown",IF(D132=3,"rd case: PC emitters",IF(D132="","",""))))</f>
        <v>rd case: PC emitters</v>
      </c>
    </row>
    <row r="133" spans="2:5" s="186" customFormat="1" thickBot="1" x14ac:dyDescent="0.25">
      <c r="B133" s="319" t="str">
        <f>IF(D132="","",IF(D132=1,B130,IF(D132=2,C130,IF(D132=D130,3,"error"))))</f>
        <v>error</v>
      </c>
    </row>
    <row r="134" spans="2:5" s="186" customFormat="1" thickBot="1" x14ac:dyDescent="0.25">
      <c r="B134" s="186" t="s">
        <v>654</v>
      </c>
      <c r="C134" s="226" t="str">
        <f>IF(ISERROR(B133),"",IF(B133&lt;0.94,"y",""))</f>
        <v/>
      </c>
      <c r="E134" s="186" t="s">
        <v>656</v>
      </c>
    </row>
    <row r="135" spans="2:5" s="186" customFormat="1" thickBot="1" x14ac:dyDescent="0.25"/>
    <row r="136" spans="2:5" s="186" customFormat="1" thickBot="1" x14ac:dyDescent="0.25">
      <c r="B136" s="191"/>
      <c r="C136" s="194" t="s">
        <v>586</v>
      </c>
      <c r="D136" s="203" t="str">
        <f>IF(OR(C134="y",D107="y"),"y","")</f>
        <v/>
      </c>
    </row>
    <row r="137" spans="2:5" s="186" customFormat="1" ht="14.25" x14ac:dyDescent="0.2"/>
    <row r="138" spans="2:5" s="186" customFormat="1" ht="14.25" x14ac:dyDescent="0.2"/>
    <row r="139" spans="2:5" s="186" customFormat="1" ht="14.25" x14ac:dyDescent="0.2">
      <c r="B139" s="186" t="s">
        <v>604</v>
      </c>
    </row>
    <row r="140" spans="2:5" s="186" customFormat="1" ht="14.25" x14ac:dyDescent="0.2">
      <c r="B140" s="186" t="s">
        <v>599</v>
      </c>
      <c r="D140" s="190" t="str">
        <f>IF(B133&lt;0.94,"y","")</f>
        <v/>
      </c>
    </row>
    <row r="141" spans="2:5" s="186" customFormat="1" ht="14.25" x14ac:dyDescent="0.2">
      <c r="B141" s="186" t="s">
        <v>581</v>
      </c>
      <c r="D141" s="190" t="str">
        <f>IF(Data!G497&gt;2,"y","")</f>
        <v/>
      </c>
    </row>
    <row r="142" spans="2:5" s="186" customFormat="1" ht="14.25" x14ac:dyDescent="0.2">
      <c r="B142" s="186" t="s">
        <v>600</v>
      </c>
      <c r="D142" s="190" t="str">
        <f>IF(Data!G503&gt;3,"y","")</f>
        <v/>
      </c>
    </row>
    <row r="143" spans="2:5" s="186" customFormat="1" thickBot="1" x14ac:dyDescent="0.25">
      <c r="B143" s="186" t="s">
        <v>601</v>
      </c>
      <c r="D143" s="190" t="str">
        <f>IF(Data!G509&gt;3,"y","")</f>
        <v/>
      </c>
    </row>
    <row r="144" spans="2:5" s="186" customFormat="1" thickBot="1" x14ac:dyDescent="0.25">
      <c r="B144" s="191"/>
      <c r="C144" s="194" t="s">
        <v>602</v>
      </c>
      <c r="D144" s="192" t="str">
        <f>IF(OR(D140="y",D141="y",D142="y",D143="y"),"y","")</f>
        <v/>
      </c>
    </row>
    <row r="145" spans="2:9" s="186" customFormat="1" ht="14.25" x14ac:dyDescent="0.2"/>
    <row r="146" spans="2:9" s="186" customFormat="1" ht="14.25" x14ac:dyDescent="0.2">
      <c r="B146" s="186" t="s">
        <v>605</v>
      </c>
    </row>
    <row r="147" spans="2:9" s="186" customFormat="1" thickBot="1" x14ac:dyDescent="0.25">
      <c r="B147" s="186" t="s">
        <v>606</v>
      </c>
      <c r="I147" s="190" t="str">
        <f>IF(OR(Data!G42=3,Data!G42=7),"y","")</f>
        <v>y</v>
      </c>
    </row>
    <row r="148" spans="2:9" s="186" customFormat="1" thickBot="1" x14ac:dyDescent="0.25">
      <c r="B148" s="191"/>
      <c r="C148" s="194" t="s">
        <v>607</v>
      </c>
      <c r="D148" s="192" t="str">
        <f>IF(I147="y","y","")</f>
        <v>y</v>
      </c>
    </row>
    <row r="151" spans="2:9" x14ac:dyDescent="0.25">
      <c r="B151" t="s">
        <v>684</v>
      </c>
    </row>
    <row r="152" spans="2:9" x14ac:dyDescent="0.25">
      <c r="B152" t="s">
        <v>685</v>
      </c>
    </row>
    <row r="153" spans="2:9" x14ac:dyDescent="0.25">
      <c r="B153" t="s">
        <v>686</v>
      </c>
      <c r="C153" t="e">
        <f>AVERAGE(Data!E163,Data!E169,Data!E177,Data!E183,Data!E191,Data!E197,Data!E205,Data!E211,Data!E219,Data!E225,Data!E233,Data!E239)</f>
        <v>#DIV/0!</v>
      </c>
      <c r="D153" t="s">
        <v>125</v>
      </c>
    </row>
    <row r="154" spans="2:9" x14ac:dyDescent="0.25">
      <c r="B154" t="s">
        <v>723</v>
      </c>
      <c r="C154" t="e">
        <f>0.15*C153</f>
        <v>#DIV/0!</v>
      </c>
      <c r="D154" t="s">
        <v>125</v>
      </c>
    </row>
    <row r="155" spans="2:9" x14ac:dyDescent="0.25">
      <c r="B155" t="s">
        <v>722</v>
      </c>
      <c r="C155" t="e">
        <f>STDEV(Data!E163,Data!E169,Data!E177,Data!E183,Data!E191,Data!E197,Data!E205,Data!E211,Data!E219,Data!E225,Data!E233,Data!E239)</f>
        <v>#DIV/0!</v>
      </c>
      <c r="D155" t="s">
        <v>125</v>
      </c>
    </row>
    <row r="156" spans="2:9" x14ac:dyDescent="0.25">
      <c r="B156" t="s">
        <v>687</v>
      </c>
      <c r="C156">
        <f>MAX(Data!E163,Data!E169,Data!E177,Data!E183,Data!E191,Data!E197,Data!E205,Data!E211,Data!E219,Data!E225,Data!E233,Data!E239)</f>
        <v>0</v>
      </c>
      <c r="D156" t="s">
        <v>125</v>
      </c>
    </row>
    <row r="157" spans="2:9" x14ac:dyDescent="0.25">
      <c r="B157" t="s">
        <v>688</v>
      </c>
      <c r="C157">
        <f>MIN(Data!E163,Data!E169,Data!E177,Data!E183,Data!E191,Data!E197,Data!E205,Data!E211,Data!E219,Data!E225,Data!E233,Data!E239)</f>
        <v>0</v>
      </c>
      <c r="D157" t="s">
        <v>125</v>
      </c>
    </row>
    <row r="158" spans="2:9" ht="15.75" thickBot="1" x14ac:dyDescent="0.3">
      <c r="B158" t="s">
        <v>689</v>
      </c>
    </row>
    <row r="159" spans="2:9" ht="15.75" thickBot="1" x14ac:dyDescent="0.3">
      <c r="C159" s="215">
        <f>C156-C157</f>
        <v>0</v>
      </c>
      <c r="D159" s="211" t="s">
        <v>125</v>
      </c>
    </row>
    <row r="160" spans="2:9" ht="15.75" thickBot="1" x14ac:dyDescent="0.3">
      <c r="B160" t="s">
        <v>724</v>
      </c>
      <c r="C160" s="225" t="e">
        <f>IF(C159&gt;C154,"y","")</f>
        <v>#DIV/0!</v>
      </c>
    </row>
    <row r="162" spans="2:19" x14ac:dyDescent="0.25">
      <c r="B162" t="s">
        <v>704</v>
      </c>
      <c r="C162" t="s">
        <v>280</v>
      </c>
      <c r="D162" t="s">
        <v>281</v>
      </c>
      <c r="E162" t="s">
        <v>705</v>
      </c>
      <c r="F162" t="s">
        <v>280</v>
      </c>
      <c r="G162" t="s">
        <v>281</v>
      </c>
      <c r="H162" t="s">
        <v>706</v>
      </c>
      <c r="I162" t="s">
        <v>280</v>
      </c>
      <c r="J162" t="s">
        <v>281</v>
      </c>
      <c r="K162" t="s">
        <v>707</v>
      </c>
      <c r="L162" t="s">
        <v>280</v>
      </c>
      <c r="M162" t="s">
        <v>281</v>
      </c>
      <c r="N162" t="s">
        <v>708</v>
      </c>
      <c r="O162" t="s">
        <v>280</v>
      </c>
      <c r="P162" t="s">
        <v>281</v>
      </c>
      <c r="Q162" t="s">
        <v>709</v>
      </c>
      <c r="R162" t="s">
        <v>280</v>
      </c>
      <c r="S162" t="s">
        <v>281</v>
      </c>
    </row>
    <row r="163" spans="2:19" x14ac:dyDescent="0.25">
      <c r="B163" t="s">
        <v>741</v>
      </c>
      <c r="C163">
        <f>Data!E163</f>
        <v>0</v>
      </c>
      <c r="D163">
        <f>Data!E169</f>
        <v>0</v>
      </c>
      <c r="E163" t="s">
        <v>741</v>
      </c>
      <c r="F163">
        <f>Data!E177</f>
        <v>0</v>
      </c>
      <c r="G163">
        <f>Data!E183</f>
        <v>0</v>
      </c>
      <c r="H163" t="s">
        <v>741</v>
      </c>
      <c r="I163">
        <f>Data!E191</f>
        <v>0</v>
      </c>
      <c r="J163">
        <f>Data!E197</f>
        <v>0</v>
      </c>
      <c r="K163" t="s">
        <v>741</v>
      </c>
      <c r="L163">
        <f>Data!E205</f>
        <v>0</v>
      </c>
      <c r="M163">
        <f>Data!E211</f>
        <v>0</v>
      </c>
      <c r="N163" t="s">
        <v>741</v>
      </c>
      <c r="O163">
        <f>Data!E219</f>
        <v>0</v>
      </c>
      <c r="P163">
        <f>Data!E225</f>
        <v>0</v>
      </c>
      <c r="Q163" t="s">
        <v>741</v>
      </c>
      <c r="R163">
        <f>Data!E233</f>
        <v>0</v>
      </c>
      <c r="S163">
        <f>Data!E239</f>
        <v>0</v>
      </c>
    </row>
    <row r="164" spans="2:19" x14ac:dyDescent="0.25">
      <c r="B164" t="s">
        <v>742</v>
      </c>
      <c r="C164">
        <f>AVERAGE(C163:D163)</f>
        <v>0</v>
      </c>
      <c r="E164" t="s">
        <v>742</v>
      </c>
      <c r="F164">
        <f>AVERAGE(F163:G163)</f>
        <v>0</v>
      </c>
      <c r="H164" t="s">
        <v>742</v>
      </c>
      <c r="I164">
        <f>AVERAGE(I163:J163)</f>
        <v>0</v>
      </c>
      <c r="K164" t="s">
        <v>742</v>
      </c>
      <c r="L164">
        <f>AVERAGE(L163:M163)</f>
        <v>0</v>
      </c>
      <c r="N164" t="s">
        <v>742</v>
      </c>
      <c r="O164">
        <f>AVERAGE(O163:P163)</f>
        <v>0</v>
      </c>
      <c r="Q164" t="s">
        <v>742</v>
      </c>
      <c r="R164">
        <f>AVERAGE(R163:S163)</f>
        <v>0</v>
      </c>
    </row>
    <row r="165" spans="2:19" x14ac:dyDescent="0.25">
      <c r="B165" t="s">
        <v>723</v>
      </c>
      <c r="C165">
        <f>0.15*C164</f>
        <v>0</v>
      </c>
      <c r="E165" t="s">
        <v>723</v>
      </c>
      <c r="F165">
        <f>0.15*F164</f>
        <v>0</v>
      </c>
      <c r="H165" t="s">
        <v>723</v>
      </c>
      <c r="I165">
        <f>0.15*I164</f>
        <v>0</v>
      </c>
      <c r="K165" t="s">
        <v>723</v>
      </c>
      <c r="L165">
        <f>0.15*L164</f>
        <v>0</v>
      </c>
      <c r="N165" t="s">
        <v>723</v>
      </c>
      <c r="O165">
        <f>0.15*O164</f>
        <v>0</v>
      </c>
      <c r="Q165" t="s">
        <v>723</v>
      </c>
      <c r="R165">
        <f>0.15*R164</f>
        <v>0</v>
      </c>
    </row>
    <row r="166" spans="2:19" x14ac:dyDescent="0.25">
      <c r="B166" t="s">
        <v>743</v>
      </c>
      <c r="C166">
        <f>STDEV(C163:D163)</f>
        <v>0</v>
      </c>
      <c r="E166" t="s">
        <v>743</v>
      </c>
      <c r="F166">
        <f>STDEV(F163:G163)</f>
        <v>0</v>
      </c>
      <c r="H166" t="s">
        <v>743</v>
      </c>
      <c r="I166">
        <f>STDEV(I163:J163)</f>
        <v>0</v>
      </c>
      <c r="K166" t="s">
        <v>743</v>
      </c>
      <c r="L166">
        <f>STDEV(L163:M163)</f>
        <v>0</v>
      </c>
      <c r="N166" t="s">
        <v>743</v>
      </c>
      <c r="O166">
        <f>STDEV(O163:P163)</f>
        <v>0</v>
      </c>
      <c r="Q166" t="s">
        <v>743</v>
      </c>
      <c r="R166">
        <f>STDEV(R163:S163)</f>
        <v>0</v>
      </c>
    </row>
    <row r="167" spans="2:19" ht="15.75" thickBot="1" x14ac:dyDescent="0.3">
      <c r="B167" t="s">
        <v>693</v>
      </c>
      <c r="C167">
        <f>MAX(C163:D163)-MIN(C163:D163)</f>
        <v>0</v>
      </c>
      <c r="E167" t="s">
        <v>693</v>
      </c>
      <c r="F167">
        <f>MAX(F163:G163)-MIN(F163:G163)</f>
        <v>0</v>
      </c>
      <c r="H167" t="s">
        <v>693</v>
      </c>
      <c r="I167">
        <f>MAX(I163:J163)-MIN(I163:J163)</f>
        <v>0</v>
      </c>
      <c r="K167" t="s">
        <v>693</v>
      </c>
      <c r="L167">
        <f>MAX(L163:M163)-MIN(L163:M163)</f>
        <v>0</v>
      </c>
      <c r="N167" t="s">
        <v>693</v>
      </c>
      <c r="O167">
        <f>MAX(O163:P163)-MIN(O163:P163)</f>
        <v>0</v>
      </c>
      <c r="Q167" t="s">
        <v>693</v>
      </c>
      <c r="R167">
        <f>MAX(R163:S163)-MIN(R163:S163)</f>
        <v>0</v>
      </c>
    </row>
    <row r="168" spans="2:19" ht="15.75" thickBot="1" x14ac:dyDescent="0.3">
      <c r="B168" t="s">
        <v>744</v>
      </c>
      <c r="C168" s="249" t="str">
        <f>IF(C167&gt;C165,"y","")</f>
        <v/>
      </c>
      <c r="E168" t="s">
        <v>744</v>
      </c>
      <c r="F168" s="225" t="str">
        <f>IF(F167&gt;F165,"y","")</f>
        <v/>
      </c>
      <c r="H168" t="s">
        <v>744</v>
      </c>
      <c r="I168" s="225" t="str">
        <f>IF(I167&gt;I165,"y","")</f>
        <v/>
      </c>
      <c r="K168" t="s">
        <v>744</v>
      </c>
      <c r="L168" s="225" t="str">
        <f>IF(L167&gt;L165,"y","")</f>
        <v/>
      </c>
      <c r="N168" t="s">
        <v>744</v>
      </c>
      <c r="O168" s="225" t="str">
        <f>IF(O167&gt;O165,"y","")</f>
        <v/>
      </c>
      <c r="Q168" t="s">
        <v>744</v>
      </c>
      <c r="R168" s="225" t="str">
        <f>IF(R167&gt;R165,"y","")</f>
        <v/>
      </c>
    </row>
    <row r="169" spans="2:19" ht="15.75" thickBot="1" x14ac:dyDescent="0.3"/>
    <row r="170" spans="2:19" ht="15.75" thickBot="1" x14ac:dyDescent="0.3">
      <c r="B170" t="s">
        <v>745</v>
      </c>
      <c r="E170" s="225" t="str">
        <f>IF(OR(C168="y",F168="y",I168="y",L168="y",O168="y",R168="y"),"y","")</f>
        <v/>
      </c>
    </row>
    <row r="171" spans="2:19" x14ac:dyDescent="0.25">
      <c r="E171" s="250"/>
    </row>
    <row r="172" spans="2:19" x14ac:dyDescent="0.25">
      <c r="B172" t="s">
        <v>719</v>
      </c>
    </row>
    <row r="173" spans="2:19" x14ac:dyDescent="0.25">
      <c r="B173" t="s">
        <v>720</v>
      </c>
      <c r="C173" t="str">
        <f>IF(ISERROR(AVERAGE(Data!E163,Data!E177,Data!E191,Data!E205,Data!E219,Data!E233)),"",AVERAGE(Data!E163,Data!E177,Data!E191,Data!E205,Data!E219,Data!E233))</f>
        <v/>
      </c>
      <c r="D173" t="s">
        <v>125</v>
      </c>
    </row>
    <row r="174" spans="2:19" x14ac:dyDescent="0.25">
      <c r="B174" t="s">
        <v>723</v>
      </c>
      <c r="C174" t="str">
        <f>IF(ISERROR(0.15*C173),"",0.15*C173)</f>
        <v/>
      </c>
      <c r="D174" t="s">
        <v>125</v>
      </c>
    </row>
    <row r="175" spans="2:19" x14ac:dyDescent="0.25">
      <c r="B175" t="s">
        <v>722</v>
      </c>
      <c r="C175" t="str">
        <f>IF(ISERROR(STDEV(Data!E163,Data!E177,Data!E191,Data!E205,Data!E219,Data!E233)),"",STDEV(Data!E163,Data!E177,Data!E191,Data!E205,Data!E219,Data!E233))</f>
        <v/>
      </c>
      <c r="D175" t="s">
        <v>125</v>
      </c>
    </row>
    <row r="176" spans="2:19" x14ac:dyDescent="0.25">
      <c r="B176" t="s">
        <v>687</v>
      </c>
      <c r="C176">
        <f>MAX(Data!E163,Data!E177,Data!E191,Data!E205,Data!E219,Data!E233)</f>
        <v>0</v>
      </c>
      <c r="D176" t="s">
        <v>125</v>
      </c>
    </row>
    <row r="177" spans="2:19" x14ac:dyDescent="0.25">
      <c r="B177" t="s">
        <v>688</v>
      </c>
      <c r="C177">
        <f>MIN(Data!E163,Data!E177,Data!E191,Data!E205,Data!E219,Data!E233)</f>
        <v>0</v>
      </c>
      <c r="D177" t="s">
        <v>125</v>
      </c>
    </row>
    <row r="178" spans="2:19" ht="15.75" thickBot="1" x14ac:dyDescent="0.3">
      <c r="B178" t="s">
        <v>721</v>
      </c>
    </row>
    <row r="179" spans="2:19" ht="15.75" thickBot="1" x14ac:dyDescent="0.3">
      <c r="C179" s="215">
        <f>C176-C177</f>
        <v>0</v>
      </c>
      <c r="D179" s="211" t="s">
        <v>125</v>
      </c>
    </row>
    <row r="180" spans="2:19" ht="15.75" thickBot="1" x14ac:dyDescent="0.3">
      <c r="B180" t="s">
        <v>724</v>
      </c>
      <c r="C180" s="225" t="str">
        <f>IF(ISERROR(C174),"",IF(C179&gt;C174,"y",""))</f>
        <v/>
      </c>
      <c r="D180" s="221"/>
    </row>
    <row r="181" spans="2:19" x14ac:dyDescent="0.25">
      <c r="C181" s="220"/>
      <c r="D181" s="221"/>
    </row>
    <row r="182" spans="2:19" x14ac:dyDescent="0.25">
      <c r="B182" t="s">
        <v>690</v>
      </c>
    </row>
    <row r="183" spans="2:19" x14ac:dyDescent="0.25">
      <c r="B183" t="s">
        <v>704</v>
      </c>
      <c r="C183" t="s">
        <v>280</v>
      </c>
      <c r="D183" t="s">
        <v>281</v>
      </c>
      <c r="E183" t="s">
        <v>705</v>
      </c>
      <c r="F183" t="s">
        <v>280</v>
      </c>
      <c r="G183" t="s">
        <v>281</v>
      </c>
      <c r="H183" t="s">
        <v>706</v>
      </c>
      <c r="I183" t="s">
        <v>280</v>
      </c>
      <c r="J183" t="s">
        <v>281</v>
      </c>
      <c r="K183" t="s">
        <v>707</v>
      </c>
      <c r="L183" t="s">
        <v>280</v>
      </c>
      <c r="M183" t="s">
        <v>281</v>
      </c>
      <c r="N183" t="s">
        <v>708</v>
      </c>
      <c r="O183" t="s">
        <v>280</v>
      </c>
      <c r="P183" t="s">
        <v>281</v>
      </c>
      <c r="Q183" t="s">
        <v>709</v>
      </c>
      <c r="R183" t="s">
        <v>280</v>
      </c>
      <c r="S183" t="s">
        <v>281</v>
      </c>
    </row>
    <row r="184" spans="2:19" x14ac:dyDescent="0.25">
      <c r="B184" t="s">
        <v>691</v>
      </c>
      <c r="C184">
        <f>MAX(Data!E161:E165)</f>
        <v>62</v>
      </c>
      <c r="D184">
        <f>MAX(Data!E167:E171)</f>
        <v>42</v>
      </c>
      <c r="E184" t="s">
        <v>691</v>
      </c>
      <c r="F184">
        <f>MAX(Data!E175:E179)</f>
        <v>66</v>
      </c>
      <c r="G184">
        <f>MAX(Data!E181:E185)</f>
        <v>66</v>
      </c>
      <c r="H184" t="s">
        <v>691</v>
      </c>
      <c r="I184">
        <f>MAX(Data!E189:E193)</f>
        <v>53</v>
      </c>
      <c r="J184">
        <f>MAX(Data!E195:E199)</f>
        <v>28</v>
      </c>
      <c r="K184" t="s">
        <v>691</v>
      </c>
      <c r="L184">
        <f>MAX(Data!E203:E207)</f>
        <v>37</v>
      </c>
      <c r="M184">
        <f>MAX(Data!E209:E213)</f>
        <v>55</v>
      </c>
      <c r="N184" t="s">
        <v>691</v>
      </c>
      <c r="O184">
        <f>MAX(Data!E217:E221)</f>
        <v>62</v>
      </c>
      <c r="P184">
        <f>MAX(Data!E223:E227)</f>
        <v>75</v>
      </c>
      <c r="Q184" t="s">
        <v>691</v>
      </c>
      <c r="R184">
        <f>MAX(Data!E231:E235)</f>
        <v>68</v>
      </c>
      <c r="S184">
        <f>MAX(Data!E237:E241)</f>
        <v>57</v>
      </c>
    </row>
    <row r="185" spans="2:19" x14ac:dyDescent="0.25">
      <c r="B185" t="s">
        <v>692</v>
      </c>
      <c r="C185">
        <f>MIN(Data!E161:E165)</f>
        <v>54</v>
      </c>
      <c r="D185">
        <f>MIN(Data!E167:E171)</f>
        <v>36</v>
      </c>
      <c r="E185" t="s">
        <v>692</v>
      </c>
      <c r="F185">
        <f>MIN(Data!E175:E179)</f>
        <v>53</v>
      </c>
      <c r="G185">
        <f>MIN(Data!E181:E185)</f>
        <v>49</v>
      </c>
      <c r="H185" t="s">
        <v>692</v>
      </c>
      <c r="I185">
        <f>MIN(Data!E189:E193)</f>
        <v>46</v>
      </c>
      <c r="J185">
        <f>MIN(Data!E195:E199)</f>
        <v>15</v>
      </c>
      <c r="K185" t="s">
        <v>692</v>
      </c>
      <c r="L185">
        <f>MIN(Data!E203:E207)</f>
        <v>20</v>
      </c>
      <c r="M185">
        <f>MIN(Data!E209:E213)</f>
        <v>42</v>
      </c>
      <c r="N185" t="s">
        <v>692</v>
      </c>
      <c r="O185">
        <f>MIN(Data!E217:E221)</f>
        <v>52</v>
      </c>
      <c r="P185">
        <f>MIN(Data!E223:E227)</f>
        <v>62</v>
      </c>
      <c r="Q185" t="s">
        <v>692</v>
      </c>
      <c r="R185">
        <f>MIN(Data!E231:E235)</f>
        <v>60</v>
      </c>
      <c r="S185">
        <f>MIN(Data!E237:E241)</f>
        <v>47</v>
      </c>
    </row>
    <row r="186" spans="2:19" x14ac:dyDescent="0.25">
      <c r="B186" t="s">
        <v>693</v>
      </c>
      <c r="C186">
        <f>C184-C185</f>
        <v>8</v>
      </c>
      <c r="D186">
        <f>D184-D185</f>
        <v>6</v>
      </c>
      <c r="E186" t="s">
        <v>693</v>
      </c>
      <c r="F186">
        <f>F184-F185</f>
        <v>13</v>
      </c>
      <c r="G186">
        <f>G184-G185</f>
        <v>17</v>
      </c>
      <c r="H186" t="s">
        <v>693</v>
      </c>
      <c r="I186">
        <f>I184-I185</f>
        <v>7</v>
      </c>
      <c r="J186">
        <f>J184-J185</f>
        <v>13</v>
      </c>
      <c r="K186" t="s">
        <v>693</v>
      </c>
      <c r="L186">
        <f>L184-L185</f>
        <v>17</v>
      </c>
      <c r="M186">
        <f>M184-M185</f>
        <v>13</v>
      </c>
      <c r="N186" t="s">
        <v>693</v>
      </c>
      <c r="O186">
        <f>O184-O185</f>
        <v>10</v>
      </c>
      <c r="P186">
        <f>P184-P185</f>
        <v>13</v>
      </c>
      <c r="Q186" t="s">
        <v>693</v>
      </c>
      <c r="R186">
        <f>R184-R185</f>
        <v>8</v>
      </c>
      <c r="S186">
        <f>S184-S185</f>
        <v>10</v>
      </c>
    </row>
    <row r="187" spans="2:19" ht="15.75" thickBot="1" x14ac:dyDescent="0.3"/>
    <row r="188" spans="2:19" ht="15.75" thickBot="1" x14ac:dyDescent="0.3">
      <c r="B188" s="205"/>
      <c r="C188" s="212"/>
      <c r="D188" s="213" t="s">
        <v>694</v>
      </c>
      <c r="E188" s="214">
        <f>MAX(C186,D186,G186,J186,M186,P186,S186,F186,I186,L186,O186,R186)</f>
        <v>17</v>
      </c>
      <c r="F188" s="206" t="s">
        <v>125</v>
      </c>
    </row>
    <row r="190" spans="2:19" x14ac:dyDescent="0.25">
      <c r="B190" s="257" t="s">
        <v>765</v>
      </c>
    </row>
    <row r="191" spans="2:19" x14ac:dyDescent="0.25">
      <c r="B191" s="257"/>
    </row>
    <row r="194" spans="1:8" x14ac:dyDescent="0.25">
      <c r="C194" t="s">
        <v>769</v>
      </c>
      <c r="E194" t="s">
        <v>768</v>
      </c>
      <c r="G194" t="s">
        <v>770</v>
      </c>
    </row>
    <row r="195" spans="1:8" ht="17.25" x14ac:dyDescent="0.25">
      <c r="A195" t="s">
        <v>766</v>
      </c>
      <c r="C195">
        <f>IF(Data!E431="","",Data!E431)</f>
        <v>15</v>
      </c>
      <c r="D195" t="s">
        <v>772</v>
      </c>
      <c r="E195" t="str">
        <f>IF(Data!E458="","",Data!E458)</f>
        <v/>
      </c>
      <c r="F195" t="s">
        <v>772</v>
      </c>
      <c r="G195" t="str">
        <f>IF(Data!E485="","",Data!E485)</f>
        <v/>
      </c>
      <c r="H195" t="s">
        <v>772</v>
      </c>
    </row>
    <row r="196" spans="1:8" x14ac:dyDescent="0.25">
      <c r="A196" t="s">
        <v>508</v>
      </c>
      <c r="C196">
        <f>IF(Data!E416="","",Data!E416)</f>
        <v>8</v>
      </c>
      <c r="E196" t="str">
        <f>IF(Data!E443="","",Data!E443)</f>
        <v/>
      </c>
      <c r="G196" t="str">
        <f>IF(Data!E470="","",Data!E470)</f>
        <v/>
      </c>
    </row>
    <row r="197" spans="1:8" ht="17.25" x14ac:dyDescent="0.25">
      <c r="A197" t="s">
        <v>767</v>
      </c>
      <c r="C197">
        <f>IF(Data!E414="","",Data!E414)</f>
        <v>800</v>
      </c>
      <c r="D197" t="s">
        <v>772</v>
      </c>
      <c r="E197" t="str">
        <f>IF(Data!E441="","",Data!E441)</f>
        <v/>
      </c>
      <c r="F197" t="s">
        <v>772</v>
      </c>
      <c r="G197" t="str">
        <f>IF(Data!E468="","",Data!E468)</f>
        <v/>
      </c>
      <c r="H197" t="s">
        <v>772</v>
      </c>
    </row>
    <row r="198" spans="1:8" x14ac:dyDescent="0.25">
      <c r="A198" t="s">
        <v>771</v>
      </c>
      <c r="C198" s="258">
        <f>C195*C196/C197*100</f>
        <v>15</v>
      </c>
      <c r="D198" s="256" t="s">
        <v>133</v>
      </c>
      <c r="E198" s="258" t="str">
        <f>IF(E195="","",E195*E196/E197*100)</f>
        <v/>
      </c>
      <c r="F198" s="256" t="str">
        <f>IF(E198="","","%")</f>
        <v/>
      </c>
      <c r="G198" s="258" t="str">
        <f>IF(G195="","",G195*G196/G197*100)</f>
        <v/>
      </c>
      <c r="H198" s="256" t="str">
        <f>IF(G198="","","%")</f>
        <v/>
      </c>
    </row>
  </sheetData>
  <mergeCells count="2">
    <mergeCell ref="W120:AB120"/>
    <mergeCell ref="Q120:V120"/>
  </mergeCells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r:id="rId5">
            <anchor moveWithCells="1">
              <from>
                <xdr:col>1</xdr:col>
                <xdr:colOff>57150</xdr:colOff>
                <xdr:row>108</xdr:row>
                <xdr:rowOff>104775</xdr:rowOff>
              </from>
              <to>
                <xdr:col>7</xdr:col>
                <xdr:colOff>200025</xdr:colOff>
                <xdr:row>111</xdr:row>
                <xdr:rowOff>57150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0" r:id="rId6">
          <objectPr defaultSize="0" autoPict="0" r:id="rId7">
            <anchor moveWithCells="1">
              <from>
                <xdr:col>1</xdr:col>
                <xdr:colOff>57150</xdr:colOff>
                <xdr:row>123</xdr:row>
                <xdr:rowOff>0</xdr:rowOff>
              </from>
              <to>
                <xdr:col>4</xdr:col>
                <xdr:colOff>285750</xdr:colOff>
                <xdr:row>125</xdr:row>
                <xdr:rowOff>66675</xdr:rowOff>
              </to>
            </anchor>
          </objectPr>
        </oleObject>
      </mc:Choice>
      <mc:Fallback>
        <oleObject progId="Equation.3" shapeId="7170" r:id="rId6"/>
      </mc:Fallback>
    </mc:AlternateContent>
    <mc:AlternateContent xmlns:mc="http://schemas.openxmlformats.org/markup-compatibility/2006">
      <mc:Choice Requires="x14">
        <oleObject progId="Equation.3" shapeId="7172" r:id="rId8">
          <objectPr defaultSize="0" autoPict="0" r:id="rId9">
            <anchor moveWithCells="1">
              <from>
                <xdr:col>1</xdr:col>
                <xdr:colOff>28575</xdr:colOff>
                <xdr:row>48</xdr:row>
                <xdr:rowOff>76200</xdr:rowOff>
              </from>
              <to>
                <xdr:col>5</xdr:col>
                <xdr:colOff>219075</xdr:colOff>
                <xdr:row>50</xdr:row>
                <xdr:rowOff>104775</xdr:rowOff>
              </to>
            </anchor>
          </objectPr>
        </oleObject>
      </mc:Choice>
      <mc:Fallback>
        <oleObject progId="Equation.3" shapeId="7172" r:id="rId8"/>
      </mc:Fallback>
    </mc:AlternateContent>
    <mc:AlternateContent xmlns:mc="http://schemas.openxmlformats.org/markup-compatibility/2006">
      <mc:Choice Requires="x14">
        <oleObject progId="Equation.3" shapeId="7173" r:id="rId10">
          <objectPr defaultSize="0" autoPict="0" r:id="rId11">
            <anchor moveWithCells="1">
              <from>
                <xdr:col>1</xdr:col>
                <xdr:colOff>38100</xdr:colOff>
                <xdr:row>190</xdr:row>
                <xdr:rowOff>38100</xdr:rowOff>
              </from>
              <to>
                <xdr:col>7</xdr:col>
                <xdr:colOff>304800</xdr:colOff>
                <xdr:row>192</xdr:row>
                <xdr:rowOff>57150</xdr:rowOff>
              </to>
            </anchor>
          </objectPr>
        </oleObject>
      </mc:Choice>
      <mc:Fallback>
        <oleObject progId="Equation.3" shapeId="7173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M573"/>
  <sheetViews>
    <sheetView topLeftCell="A183" workbookViewId="0">
      <pane ySplit="1515" topLeftCell="A475" activePane="bottomLeft"/>
      <selection activeCell="F198" sqref="F198"/>
      <selection pane="bottomLeft" activeCell="F198" sqref="F198"/>
    </sheetView>
  </sheetViews>
  <sheetFormatPr defaultColWidth="9.140625" defaultRowHeight="14.25" x14ac:dyDescent="0.2"/>
  <cols>
    <col min="1" max="3" width="9.140625" style="4"/>
    <col min="4" max="4" width="12.85546875" style="4" customWidth="1"/>
    <col min="5" max="8" width="9.140625" style="4"/>
    <col min="9" max="10" width="9.42578125" style="4" bestFit="1" customWidth="1"/>
    <col min="11" max="16384" width="9.140625" style="4"/>
  </cols>
  <sheetData>
    <row r="1" spans="1:21" s="81" customFormat="1" ht="20.25" x14ac:dyDescent="0.3">
      <c r="A1" s="455" t="s">
        <v>271</v>
      </c>
      <c r="B1" s="455"/>
      <c r="C1" s="455"/>
      <c r="D1" s="455"/>
      <c r="E1" s="455"/>
      <c r="F1" s="455"/>
      <c r="G1" s="455"/>
      <c r="H1" s="455"/>
      <c r="I1" s="455"/>
    </row>
    <row r="2" spans="1:21" s="81" customFormat="1" x14ac:dyDescent="0.2"/>
    <row r="3" spans="1:21" s="81" customFormat="1" ht="15" x14ac:dyDescent="0.25">
      <c r="B3" s="86" t="s">
        <v>272</v>
      </c>
      <c r="L3" s="459" t="s">
        <v>290</v>
      </c>
      <c r="M3" s="460"/>
      <c r="N3" s="460"/>
      <c r="O3" s="461"/>
    </row>
    <row r="4" spans="1:21" s="81" customFormat="1" x14ac:dyDescent="0.2">
      <c r="B4" s="85">
        <v>1</v>
      </c>
      <c r="C4" s="90" t="s">
        <v>273</v>
      </c>
      <c r="D4" s="90"/>
      <c r="E4" s="90"/>
      <c r="F4" s="90"/>
      <c r="G4" s="90"/>
      <c r="H4" s="90"/>
      <c r="L4" s="419" t="s">
        <v>293</v>
      </c>
      <c r="M4" s="420"/>
      <c r="N4" s="420"/>
      <c r="O4" s="421"/>
    </row>
    <row r="5" spans="1:21" s="81" customFormat="1" x14ac:dyDescent="0.2">
      <c r="B5" s="85">
        <v>2</v>
      </c>
      <c r="C5" s="81" t="s">
        <v>274</v>
      </c>
      <c r="L5" s="416" t="s">
        <v>291</v>
      </c>
      <c r="M5" s="417"/>
      <c r="N5" s="417"/>
      <c r="O5" s="418"/>
    </row>
    <row r="6" spans="1:21" s="81" customFormat="1" x14ac:dyDescent="0.2">
      <c r="B6" s="85">
        <v>3</v>
      </c>
      <c r="C6" s="81" t="s">
        <v>275</v>
      </c>
      <c r="L6" s="456" t="s">
        <v>292</v>
      </c>
      <c r="M6" s="457"/>
      <c r="N6" s="457"/>
      <c r="O6" s="458"/>
    </row>
    <row r="7" spans="1:21" s="81" customFormat="1" x14ac:dyDescent="0.2">
      <c r="B7" s="85">
        <v>4</v>
      </c>
      <c r="C7" s="81" t="s">
        <v>277</v>
      </c>
    </row>
    <row r="8" spans="1:21" s="81" customFormat="1" x14ac:dyDescent="0.2">
      <c r="B8" s="85">
        <v>5</v>
      </c>
      <c r="C8" s="81" t="s">
        <v>276</v>
      </c>
    </row>
    <row r="9" spans="1:21" s="81" customFormat="1" x14ac:dyDescent="0.2">
      <c r="B9" s="85">
        <v>6</v>
      </c>
      <c r="C9" s="124" t="s">
        <v>408</v>
      </c>
    </row>
    <row r="10" spans="1:21" s="81" customFormat="1" x14ac:dyDescent="0.2"/>
    <row r="11" spans="1:21" s="81" customFormat="1" ht="15.75" x14ac:dyDescent="0.25">
      <c r="A11" s="91">
        <v>1</v>
      </c>
      <c r="B11" s="92" t="s">
        <v>273</v>
      </c>
      <c r="C11" s="90"/>
      <c r="D11" s="90"/>
      <c r="E11" s="90"/>
      <c r="F11" s="90"/>
      <c r="G11" s="90"/>
      <c r="H11" s="90"/>
    </row>
    <row r="12" spans="1:21" s="81" customFormat="1" x14ac:dyDescent="0.2"/>
    <row r="13" spans="1:21" s="81" customFormat="1" x14ac:dyDescent="0.2">
      <c r="B13" s="81" t="s">
        <v>278</v>
      </c>
      <c r="J13" s="84" t="s">
        <v>308</v>
      </c>
    </row>
    <row r="14" spans="1:21" s="81" customFormat="1" ht="15" thickBot="1" x14ac:dyDescent="0.25"/>
    <row r="15" spans="1:21" s="81" customFormat="1" ht="14.25" customHeight="1" x14ac:dyDescent="0.2">
      <c r="I15" s="452" t="s">
        <v>289</v>
      </c>
      <c r="J15" s="450" t="s">
        <v>279</v>
      </c>
      <c r="K15" s="451"/>
      <c r="L15" s="450" t="s">
        <v>282</v>
      </c>
      <c r="M15" s="451"/>
      <c r="N15" s="450" t="s">
        <v>283</v>
      </c>
      <c r="O15" s="451"/>
      <c r="P15" s="450" t="s">
        <v>284</v>
      </c>
      <c r="Q15" s="451"/>
      <c r="R15" s="450" t="s">
        <v>285</v>
      </c>
      <c r="S15" s="451"/>
      <c r="T15" s="450" t="s">
        <v>286</v>
      </c>
      <c r="U15" s="451"/>
    </row>
    <row r="16" spans="1:21" s="81" customFormat="1" x14ac:dyDescent="0.2">
      <c r="I16" s="452"/>
      <c r="J16" s="93" t="s">
        <v>280</v>
      </c>
      <c r="K16" s="94" t="s">
        <v>281</v>
      </c>
      <c r="L16" s="93" t="s">
        <v>280</v>
      </c>
      <c r="M16" s="94" t="s">
        <v>281</v>
      </c>
      <c r="N16" s="93" t="s">
        <v>280</v>
      </c>
      <c r="O16" s="94" t="s">
        <v>281</v>
      </c>
      <c r="P16" s="93" t="s">
        <v>280</v>
      </c>
      <c r="Q16" s="94" t="s">
        <v>281</v>
      </c>
      <c r="R16" s="93" t="s">
        <v>280</v>
      </c>
      <c r="S16" s="94" t="s">
        <v>281</v>
      </c>
      <c r="T16" s="93" t="s">
        <v>280</v>
      </c>
      <c r="U16" s="94" t="s">
        <v>281</v>
      </c>
    </row>
    <row r="17" spans="8:21" s="81" customFormat="1" x14ac:dyDescent="0.2">
      <c r="I17" s="89" t="s">
        <v>287</v>
      </c>
      <c r="J17" s="93">
        <f>Data!E161</f>
        <v>55</v>
      </c>
      <c r="K17" s="94">
        <f>Data!E167</f>
        <v>36</v>
      </c>
      <c r="L17" s="93">
        <f>Data!E175</f>
        <v>66</v>
      </c>
      <c r="M17" s="94">
        <f>Data!E181</f>
        <v>66</v>
      </c>
      <c r="N17" s="93">
        <f>Data!E189</f>
        <v>46</v>
      </c>
      <c r="O17" s="94">
        <f>Data!E195</f>
        <v>27</v>
      </c>
      <c r="P17" s="93">
        <f>Data!E203</f>
        <v>31</v>
      </c>
      <c r="Q17" s="94">
        <f>Data!E209</f>
        <v>55</v>
      </c>
      <c r="R17" s="93">
        <f>Data!E217</f>
        <v>62</v>
      </c>
      <c r="S17" s="94">
        <f>Data!E223</f>
        <v>75</v>
      </c>
      <c r="T17" s="93">
        <f>Data!E231</f>
        <v>68</v>
      </c>
      <c r="U17" s="94">
        <f>Data!E237</f>
        <v>50</v>
      </c>
    </row>
    <row r="18" spans="8:21" s="81" customFormat="1" x14ac:dyDescent="0.2">
      <c r="H18" s="89"/>
      <c r="J18" s="93">
        <f>Data!E162</f>
        <v>0</v>
      </c>
      <c r="K18" s="94">
        <f>Data!E168</f>
        <v>0</v>
      </c>
      <c r="L18" s="93">
        <f>Data!E176</f>
        <v>0</v>
      </c>
      <c r="M18" s="94">
        <f>Data!E182</f>
        <v>0</v>
      </c>
      <c r="N18" s="93">
        <f>Data!E190</f>
        <v>0</v>
      </c>
      <c r="O18" s="94">
        <f>Data!E196</f>
        <v>0</v>
      </c>
      <c r="P18" s="93">
        <f>Data!E204</f>
        <v>0</v>
      </c>
      <c r="Q18" s="94">
        <f>Data!E210</f>
        <v>0</v>
      </c>
      <c r="R18" s="93">
        <f>Data!E218</f>
        <v>0</v>
      </c>
      <c r="S18" s="94">
        <f>Data!E224</f>
        <v>0</v>
      </c>
      <c r="T18" s="93">
        <f>Data!E232</f>
        <v>0</v>
      </c>
      <c r="U18" s="94">
        <f>Data!E238</f>
        <v>0</v>
      </c>
    </row>
    <row r="19" spans="8:21" s="81" customFormat="1" x14ac:dyDescent="0.2">
      <c r="H19" s="89"/>
      <c r="J19" s="93">
        <f>Data!E163</f>
        <v>0</v>
      </c>
      <c r="K19" s="94">
        <f>Data!E169</f>
        <v>0</v>
      </c>
      <c r="L19" s="93">
        <f>Data!E177</f>
        <v>0</v>
      </c>
      <c r="M19" s="94">
        <f>Data!E183</f>
        <v>0</v>
      </c>
      <c r="N19" s="93">
        <f>Data!E191</f>
        <v>0</v>
      </c>
      <c r="O19" s="94">
        <f>Data!E197</f>
        <v>0</v>
      </c>
      <c r="P19" s="93">
        <f>Data!E205</f>
        <v>0</v>
      </c>
      <c r="Q19" s="94">
        <f>Data!E211</f>
        <v>0</v>
      </c>
      <c r="R19" s="93">
        <f>Data!E219</f>
        <v>0</v>
      </c>
      <c r="S19" s="94">
        <f>Data!E225</f>
        <v>0</v>
      </c>
      <c r="T19" s="93">
        <f>Data!E233</f>
        <v>0</v>
      </c>
      <c r="U19" s="94">
        <f>Data!E239</f>
        <v>0</v>
      </c>
    </row>
    <row r="20" spans="8:21" s="81" customFormat="1" x14ac:dyDescent="0.2">
      <c r="H20" s="89"/>
      <c r="J20" s="93">
        <f>Data!E164</f>
        <v>54</v>
      </c>
      <c r="K20" s="94">
        <f>Data!E170</f>
        <v>38</v>
      </c>
      <c r="L20" s="93">
        <f>Data!E178</f>
        <v>58</v>
      </c>
      <c r="M20" s="94">
        <f>Data!E184</f>
        <v>56</v>
      </c>
      <c r="N20" s="93">
        <f>Data!E192</f>
        <v>49</v>
      </c>
      <c r="O20" s="94">
        <f>Data!E198</f>
        <v>28</v>
      </c>
      <c r="P20" s="93">
        <f>Data!E206</f>
        <v>37</v>
      </c>
      <c r="Q20" s="94">
        <f>Data!E212</f>
        <v>48</v>
      </c>
      <c r="R20" s="93">
        <f>Data!E220</f>
        <v>54</v>
      </c>
      <c r="S20" s="94">
        <f>Data!E226</f>
        <v>65</v>
      </c>
      <c r="T20" s="93">
        <f>Data!E234</f>
        <v>65</v>
      </c>
      <c r="U20" s="94">
        <f>Data!E240</f>
        <v>47</v>
      </c>
    </row>
    <row r="21" spans="8:21" s="81" customFormat="1" ht="15" thickBot="1" x14ac:dyDescent="0.25">
      <c r="I21" s="89" t="s">
        <v>288</v>
      </c>
      <c r="J21" s="95">
        <f>Data!E165</f>
        <v>62</v>
      </c>
      <c r="K21" s="96">
        <f>Data!E171</f>
        <v>42</v>
      </c>
      <c r="L21" s="95">
        <f>Data!E179</f>
        <v>53</v>
      </c>
      <c r="M21" s="96">
        <f>Data!E185</f>
        <v>49</v>
      </c>
      <c r="N21" s="95">
        <f>Data!E193</f>
        <v>53</v>
      </c>
      <c r="O21" s="96">
        <f>Data!E199</f>
        <v>15</v>
      </c>
      <c r="P21" s="95">
        <f>Data!E207</f>
        <v>20</v>
      </c>
      <c r="Q21" s="96">
        <f>Data!E213</f>
        <v>42</v>
      </c>
      <c r="R21" s="95">
        <f>Data!E221</f>
        <v>52</v>
      </c>
      <c r="S21" s="96">
        <f>Data!E227</f>
        <v>62</v>
      </c>
      <c r="T21" s="95">
        <f>Data!E235</f>
        <v>60</v>
      </c>
      <c r="U21" s="96">
        <f>Data!E241</f>
        <v>57</v>
      </c>
    </row>
    <row r="22" spans="8:21" s="81" customFormat="1" x14ac:dyDescent="0.2"/>
    <row r="23" spans="8:21" s="81" customFormat="1" x14ac:dyDescent="0.2"/>
    <row r="24" spans="8:21" s="81" customFormat="1" x14ac:dyDescent="0.2"/>
    <row r="25" spans="8:21" s="81" customFormat="1" x14ac:dyDescent="0.2"/>
    <row r="26" spans="8:21" s="81" customFormat="1" x14ac:dyDescent="0.2"/>
    <row r="27" spans="8:21" s="81" customFormat="1" x14ac:dyDescent="0.2"/>
    <row r="28" spans="8:21" s="81" customFormat="1" x14ac:dyDescent="0.2"/>
    <row r="29" spans="8:21" s="81" customFormat="1" x14ac:dyDescent="0.2"/>
    <row r="30" spans="8:21" s="81" customFormat="1" x14ac:dyDescent="0.2"/>
    <row r="31" spans="8:21" s="81" customFormat="1" x14ac:dyDescent="0.2"/>
    <row r="32" spans="8:21" s="81" customFormat="1" x14ac:dyDescent="0.2"/>
    <row r="33" spans="3:6" s="81" customFormat="1" x14ac:dyDescent="0.2"/>
    <row r="34" spans="3:6" s="81" customFormat="1" x14ac:dyDescent="0.2"/>
    <row r="35" spans="3:6" s="81" customFormat="1" x14ac:dyDescent="0.2"/>
    <row r="36" spans="3:6" s="84" customFormat="1" x14ac:dyDescent="0.2"/>
    <row r="37" spans="3:6" s="84" customFormat="1" x14ac:dyDescent="0.2"/>
    <row r="38" spans="3:6" s="84" customFormat="1" x14ac:dyDescent="0.2">
      <c r="C38" s="84" t="s">
        <v>307</v>
      </c>
    </row>
    <row r="39" spans="3:6" s="84" customFormat="1" x14ac:dyDescent="0.2"/>
    <row r="40" spans="3:6" s="84" customFormat="1" ht="15" x14ac:dyDescent="0.25">
      <c r="C40" s="462" t="s">
        <v>310</v>
      </c>
      <c r="D40" s="463"/>
    </row>
    <row r="41" spans="3:6" s="84" customFormat="1" x14ac:dyDescent="0.2">
      <c r="C41" s="440" t="s">
        <v>309</v>
      </c>
      <c r="D41" s="442"/>
    </row>
    <row r="42" spans="3:6" s="84" customFormat="1" x14ac:dyDescent="0.2">
      <c r="C42" s="97" t="s">
        <v>311</v>
      </c>
      <c r="D42" s="102" t="s">
        <v>147</v>
      </c>
      <c r="F42" s="84" t="s">
        <v>360</v>
      </c>
    </row>
    <row r="43" spans="3:6" s="84" customFormat="1" x14ac:dyDescent="0.2">
      <c r="C43" s="102" t="str">
        <f>Data!D295</f>
        <v>#1</v>
      </c>
      <c r="D43" s="102">
        <f>Data!E295</f>
        <v>300</v>
      </c>
      <c r="F43" s="85">
        <v>1</v>
      </c>
    </row>
    <row r="44" spans="3:6" s="84" customFormat="1" x14ac:dyDescent="0.2">
      <c r="C44" s="102" t="str">
        <f>Data!D296</f>
        <v>#2</v>
      </c>
      <c r="D44" s="102">
        <f>Data!E296</f>
        <v>325</v>
      </c>
      <c r="F44" s="85">
        <v>1</v>
      </c>
    </row>
    <row r="45" spans="3:6" s="84" customFormat="1" x14ac:dyDescent="0.2">
      <c r="C45" s="102" t="str">
        <f>Data!D297</f>
        <v>#3</v>
      </c>
      <c r="D45" s="102">
        <f>Data!E297</f>
        <v>330</v>
      </c>
      <c r="F45" s="85">
        <v>1</v>
      </c>
    </row>
    <row r="46" spans="3:6" s="84" customFormat="1" x14ac:dyDescent="0.2">
      <c r="C46" s="102" t="str">
        <f>Data!D298</f>
        <v>#4</v>
      </c>
      <c r="D46" s="102">
        <f>Data!E298</f>
        <v>305</v>
      </c>
      <c r="F46" s="85">
        <v>1</v>
      </c>
    </row>
    <row r="47" spans="3:6" s="84" customFormat="1" x14ac:dyDescent="0.2">
      <c r="C47" s="102" t="str">
        <f>Data!D299</f>
        <v>#5</v>
      </c>
      <c r="D47" s="102">
        <f>Data!E299</f>
        <v>325</v>
      </c>
      <c r="F47" s="85">
        <v>1</v>
      </c>
    </row>
    <row r="48" spans="3:6" s="84" customFormat="1" x14ac:dyDescent="0.2">
      <c r="C48" s="102" t="str">
        <f>Data!D300</f>
        <v>#6</v>
      </c>
      <c r="D48" s="102">
        <f>Data!E300</f>
        <v>335</v>
      </c>
      <c r="F48" s="85">
        <v>1</v>
      </c>
    </row>
    <row r="49" spans="3:35" s="84" customFormat="1" x14ac:dyDescent="0.2">
      <c r="C49" s="102" t="str">
        <f>Data!D301</f>
        <v>#7</v>
      </c>
      <c r="D49" s="102">
        <f>Data!E301</f>
        <v>295</v>
      </c>
      <c r="F49" s="85">
        <v>1</v>
      </c>
    </row>
    <row r="50" spans="3:35" s="84" customFormat="1" x14ac:dyDescent="0.2">
      <c r="C50" s="102" t="str">
        <f>Data!D302</f>
        <v>#8</v>
      </c>
      <c r="D50" s="102">
        <f>Data!E302</f>
        <v>350</v>
      </c>
      <c r="F50" s="85">
        <v>1</v>
      </c>
    </row>
    <row r="51" spans="3:35" s="84" customFormat="1" x14ac:dyDescent="0.2">
      <c r="C51" s="102" t="str">
        <f>Data!D303</f>
        <v>#9</v>
      </c>
      <c r="D51" s="102">
        <f>Data!E303</f>
        <v>335</v>
      </c>
      <c r="F51" s="85">
        <v>1</v>
      </c>
    </row>
    <row r="52" spans="3:35" s="84" customFormat="1" x14ac:dyDescent="0.2">
      <c r="C52" s="102" t="str">
        <f>Data!D304</f>
        <v>#10</v>
      </c>
      <c r="D52" s="102">
        <f>Data!E304</f>
        <v>325</v>
      </c>
      <c r="F52" s="85">
        <v>1</v>
      </c>
    </row>
    <row r="53" spans="3:35" s="84" customFormat="1" x14ac:dyDescent="0.2">
      <c r="C53" s="102" t="str">
        <f>Data!D305</f>
        <v>#11</v>
      </c>
      <c r="D53" s="102">
        <f>Data!E305</f>
        <v>315</v>
      </c>
      <c r="F53" s="85">
        <v>1</v>
      </c>
    </row>
    <row r="54" spans="3:35" s="81" customFormat="1" x14ac:dyDescent="0.2">
      <c r="C54" s="102" t="str">
        <f>Data!D306</f>
        <v>#12</v>
      </c>
      <c r="D54" s="102">
        <f>Data!E306</f>
        <v>300</v>
      </c>
      <c r="F54" s="85">
        <v>1</v>
      </c>
    </row>
    <row r="55" spans="3:35" s="84" customFormat="1" x14ac:dyDescent="0.2">
      <c r="C55" s="102" t="str">
        <f>Data!D307</f>
        <v>#13</v>
      </c>
      <c r="D55" s="102">
        <f>Data!E307</f>
        <v>315</v>
      </c>
      <c r="F55" s="85">
        <v>1</v>
      </c>
    </row>
    <row r="56" spans="3:35" s="84" customFormat="1" x14ac:dyDescent="0.2">
      <c r="C56" s="102" t="str">
        <f>Data!D308</f>
        <v>#14</v>
      </c>
      <c r="D56" s="102">
        <f>Data!E308</f>
        <v>400</v>
      </c>
      <c r="F56" s="85">
        <v>1</v>
      </c>
    </row>
    <row r="57" spans="3:35" s="84" customFormat="1" x14ac:dyDescent="0.2">
      <c r="C57" s="102" t="str">
        <f>Data!D309</f>
        <v>#15</v>
      </c>
      <c r="D57" s="102">
        <f>Data!E309</f>
        <v>310</v>
      </c>
      <c r="F57" s="85">
        <v>1</v>
      </c>
    </row>
    <row r="58" spans="3:35" s="84" customFormat="1" x14ac:dyDescent="0.2">
      <c r="C58" s="102" t="str">
        <f>Data!D310</f>
        <v>#16</v>
      </c>
      <c r="D58" s="102">
        <f>Data!E310</f>
        <v>300</v>
      </c>
      <c r="F58" s="85">
        <v>1</v>
      </c>
      <c r="V58" s="124" t="s">
        <v>422</v>
      </c>
    </row>
    <row r="59" spans="3:35" s="84" customFormat="1" x14ac:dyDescent="0.2">
      <c r="V59" s="124" t="s">
        <v>423</v>
      </c>
      <c r="AC59" s="124"/>
    </row>
    <row r="60" spans="3:35" s="84" customFormat="1" ht="15" customHeight="1" x14ac:dyDescent="0.2">
      <c r="Y60" s="428" t="s">
        <v>358</v>
      </c>
      <c r="AB60" s="428" t="s">
        <v>426</v>
      </c>
      <c r="AC60" s="428" t="s">
        <v>427</v>
      </c>
      <c r="AE60" s="465" t="s">
        <v>428</v>
      </c>
      <c r="AF60" s="470"/>
      <c r="AG60" s="470"/>
      <c r="AH60" s="466"/>
      <c r="AI60" s="111"/>
    </row>
    <row r="61" spans="3:35" s="84" customFormat="1" x14ac:dyDescent="0.2">
      <c r="I61" s="440" t="s">
        <v>310</v>
      </c>
      <c r="J61" s="442"/>
      <c r="K61" s="440" t="s">
        <v>310</v>
      </c>
      <c r="L61" s="442"/>
      <c r="M61" s="440" t="s">
        <v>310</v>
      </c>
      <c r="N61" s="442"/>
      <c r="O61" s="440" t="s">
        <v>310</v>
      </c>
      <c r="P61" s="442"/>
      <c r="Q61" s="440" t="s">
        <v>310</v>
      </c>
      <c r="R61" s="442"/>
      <c r="U61" s="126" t="s">
        <v>359</v>
      </c>
      <c r="V61" s="126" t="s">
        <v>355</v>
      </c>
      <c r="W61" s="126" t="s">
        <v>424</v>
      </c>
      <c r="X61" s="126" t="s">
        <v>425</v>
      </c>
      <c r="Y61" s="428"/>
      <c r="AA61" s="126" t="s">
        <v>345</v>
      </c>
      <c r="AB61" s="428"/>
      <c r="AC61" s="428"/>
      <c r="AE61" s="123" t="s">
        <v>429</v>
      </c>
      <c r="AF61" s="123" t="s">
        <v>430</v>
      </c>
      <c r="AG61" s="123" t="s">
        <v>425</v>
      </c>
      <c r="AH61" s="123" t="s">
        <v>431</v>
      </c>
      <c r="AI61" s="101"/>
    </row>
    <row r="62" spans="3:35" s="84" customFormat="1" x14ac:dyDescent="0.2">
      <c r="I62" s="440" t="s">
        <v>309</v>
      </c>
      <c r="J62" s="442"/>
      <c r="K62" s="440" t="s">
        <v>312</v>
      </c>
      <c r="L62" s="442"/>
      <c r="M62" s="440" t="s">
        <v>313</v>
      </c>
      <c r="N62" s="442"/>
      <c r="O62" s="440" t="s">
        <v>314</v>
      </c>
      <c r="P62" s="442"/>
      <c r="Q62" s="440" t="s">
        <v>315</v>
      </c>
      <c r="R62" s="442"/>
      <c r="U62" s="126">
        <v>1</v>
      </c>
      <c r="V62" s="126">
        <f>I64</f>
        <v>65</v>
      </c>
      <c r="W62" s="126">
        <f>I65</f>
        <v>5165</v>
      </c>
      <c r="X62" s="126">
        <f>I63</f>
        <v>5</v>
      </c>
      <c r="Y62" s="126">
        <f>I66</f>
        <v>16</v>
      </c>
      <c r="AA62" s="126">
        <f>RANK(AB62,$AB$62:$AB$66,1)</f>
        <v>5</v>
      </c>
      <c r="AB62" s="126">
        <f>V62</f>
        <v>65</v>
      </c>
      <c r="AC62" s="126">
        <f>IF(ISERROR(VLOOKUP(ROW(AC62)-61,$AA$62:$AB$66,2,FALSE)),AC60,VLOOKUP(ROW(AC62)-61,$AA$62:$AB$66,2,FALSE))</f>
        <v>15</v>
      </c>
      <c r="AE62" s="123">
        <f>AC62</f>
        <v>15</v>
      </c>
      <c r="AF62" s="123">
        <f>VLOOKUP($AE62,$V$62:$Y$66,2,FALSE)</f>
        <v>4060</v>
      </c>
      <c r="AG62" s="123">
        <f>VLOOKUP($AE62,$V$62:$Y$66,3,FALSE)</f>
        <v>4</v>
      </c>
      <c r="AH62" s="123">
        <f>VLOOKUP($AE62,$V$62:$Y$66,4,FALSE)</f>
        <v>16</v>
      </c>
      <c r="AI62" s="101"/>
    </row>
    <row r="63" spans="3:35" s="84" customFormat="1" x14ac:dyDescent="0.2">
      <c r="C63" s="419" t="str">
        <f>Data!D314</f>
        <v>Collection time:</v>
      </c>
      <c r="D63" s="420"/>
      <c r="E63" s="420"/>
      <c r="F63" s="420"/>
      <c r="G63" s="420"/>
      <c r="H63" s="421"/>
      <c r="I63" s="440">
        <f>Data!E292</f>
        <v>5</v>
      </c>
      <c r="J63" s="442"/>
      <c r="K63" s="440">
        <f>Data!E314</f>
        <v>4</v>
      </c>
      <c r="L63" s="442"/>
      <c r="M63" s="440">
        <f>Data!E323</f>
        <v>4</v>
      </c>
      <c r="N63" s="442"/>
      <c r="O63" s="440">
        <f>Data!E332</f>
        <v>3</v>
      </c>
      <c r="P63" s="442"/>
      <c r="Q63" s="440">
        <f>Data!E341</f>
        <v>5</v>
      </c>
      <c r="R63" s="442"/>
      <c r="S63" s="102" t="str">
        <f>Data!F292</f>
        <v>minutes</v>
      </c>
      <c r="U63" s="126">
        <v>2</v>
      </c>
      <c r="V63" s="126">
        <f>K64</f>
        <v>15</v>
      </c>
      <c r="W63" s="126">
        <f>K65</f>
        <v>4060</v>
      </c>
      <c r="X63" s="126">
        <f>K63</f>
        <v>4</v>
      </c>
      <c r="Y63" s="126">
        <f>K66</f>
        <v>16</v>
      </c>
      <c r="AA63" s="126">
        <f>RANK(AB63,$AB$62:$AB$66,1)</f>
        <v>1</v>
      </c>
      <c r="AB63" s="126">
        <f>V63</f>
        <v>15</v>
      </c>
      <c r="AC63" s="126">
        <f>IF(ISERROR(VLOOKUP(ROW(AC63)-61,$AA$62:$AB$66,2,FALSE)),AC62,VLOOKUP(ROW(AC63)-61,$AA$62:$AB$66,2,FALSE))</f>
        <v>31</v>
      </c>
      <c r="AE63" s="123">
        <f>AC63</f>
        <v>31</v>
      </c>
      <c r="AF63" s="123">
        <f>VLOOKUP($AE63,$V$62:$Y$66,2,FALSE)</f>
        <v>3750</v>
      </c>
      <c r="AG63" s="123">
        <f>VLOOKUP($AE63,$V$62:$Y$66,3,FALSE)</f>
        <v>4</v>
      </c>
      <c r="AH63" s="123">
        <f>VLOOKUP($AE63,$V$62:$Y$66,4,FALSE)</f>
        <v>15</v>
      </c>
      <c r="AI63" s="101"/>
    </row>
    <row r="64" spans="3:35" s="84" customFormat="1" x14ac:dyDescent="0.2">
      <c r="C64" s="419" t="str">
        <f>Data!D315</f>
        <v>Hose pressure at emitters:</v>
      </c>
      <c r="D64" s="420"/>
      <c r="E64" s="420"/>
      <c r="F64" s="420"/>
      <c r="G64" s="420"/>
      <c r="H64" s="421"/>
      <c r="I64" s="440">
        <f>Data!E293</f>
        <v>65</v>
      </c>
      <c r="J64" s="442"/>
      <c r="K64" s="440">
        <f>Data!E315</f>
        <v>15</v>
      </c>
      <c r="L64" s="442"/>
      <c r="M64" s="440">
        <f>Data!E324</f>
        <v>31</v>
      </c>
      <c r="N64" s="442"/>
      <c r="O64" s="440">
        <f>Data!E333</f>
        <v>46</v>
      </c>
      <c r="P64" s="442"/>
      <c r="Q64" s="440">
        <f>Data!E342</f>
        <v>54</v>
      </c>
      <c r="R64" s="442"/>
      <c r="S64" s="102" t="str">
        <f>Data!F293</f>
        <v>psi</v>
      </c>
      <c r="U64" s="126">
        <v>3</v>
      </c>
      <c r="V64" s="126">
        <f>M64</f>
        <v>31</v>
      </c>
      <c r="W64" s="126">
        <f>M65</f>
        <v>3750</v>
      </c>
      <c r="X64" s="126">
        <f>M63</f>
        <v>4</v>
      </c>
      <c r="Y64" s="126">
        <f>M66</f>
        <v>15</v>
      </c>
      <c r="AA64" s="126">
        <f>RANK(AB64,$AB$62:$AB$66,1)</f>
        <v>2</v>
      </c>
      <c r="AB64" s="126">
        <f>V64</f>
        <v>31</v>
      </c>
      <c r="AC64" s="126">
        <f>IF(ISERROR(VLOOKUP(ROW(AC64)-61,$AA$62:$AB$66,2,FALSE)),AC63,VLOOKUP(ROW(AC64)-61,$AA$62:$AB$66,2,FALSE))</f>
        <v>46</v>
      </c>
      <c r="AE64" s="123">
        <f>AC64</f>
        <v>46</v>
      </c>
      <c r="AF64" s="123">
        <f>VLOOKUP($AE64,$V$62:$Y$66,2,FALSE)</f>
        <v>3070</v>
      </c>
      <c r="AG64" s="123">
        <f>VLOOKUP($AE64,$V$62:$Y$66,3,FALSE)</f>
        <v>3</v>
      </c>
      <c r="AH64" s="123">
        <f>VLOOKUP($AE64,$V$62:$Y$66,4,FALSE)</f>
        <v>16</v>
      </c>
      <c r="AI64" s="101"/>
    </row>
    <row r="65" spans="3:35" s="84" customFormat="1" x14ac:dyDescent="0.2">
      <c r="C65" s="419" t="str">
        <f>Data!D316</f>
        <v>Volume of water accumulated from all the emitters:</v>
      </c>
      <c r="D65" s="420"/>
      <c r="E65" s="420"/>
      <c r="F65" s="420"/>
      <c r="G65" s="420"/>
      <c r="H65" s="421"/>
      <c r="I65" s="465">
        <f>SUM(D43:D58)</f>
        <v>5165</v>
      </c>
      <c r="J65" s="466"/>
      <c r="K65" s="440">
        <f>Data!E316</f>
        <v>4060</v>
      </c>
      <c r="L65" s="442"/>
      <c r="M65" s="440">
        <f>Data!E325</f>
        <v>3750</v>
      </c>
      <c r="N65" s="442"/>
      <c r="O65" s="440">
        <f>Data!E334</f>
        <v>3070</v>
      </c>
      <c r="P65" s="442"/>
      <c r="Q65" s="440">
        <f>Data!E343</f>
        <v>5150</v>
      </c>
      <c r="R65" s="442"/>
      <c r="S65" s="102" t="str">
        <f>Data!F295</f>
        <v>mL</v>
      </c>
      <c r="U65" s="126">
        <v>4</v>
      </c>
      <c r="V65" s="126">
        <f>O64</f>
        <v>46</v>
      </c>
      <c r="W65" s="126">
        <f>O65</f>
        <v>3070</v>
      </c>
      <c r="X65" s="126">
        <f>O63</f>
        <v>3</v>
      </c>
      <c r="Y65" s="126">
        <f>O66</f>
        <v>16</v>
      </c>
      <c r="AA65" s="126">
        <f>RANK(AB65,$AB$62:$AB$66,1)</f>
        <v>3</v>
      </c>
      <c r="AB65" s="126">
        <f>V65</f>
        <v>46</v>
      </c>
      <c r="AC65" s="126">
        <f>IF(ISERROR(VLOOKUP(ROW(AC65)-61,$AA$62:$AB$66,2,FALSE)),AC64,VLOOKUP(ROW(AC65)-61,$AA$62:$AB$66,2,FALSE))</f>
        <v>54</v>
      </c>
      <c r="AE65" s="123">
        <f>AC65</f>
        <v>54</v>
      </c>
      <c r="AF65" s="123">
        <f>VLOOKUP($AE65,$V$62:$Y$66,2,FALSE)</f>
        <v>5150</v>
      </c>
      <c r="AG65" s="123">
        <f>VLOOKUP($AE65,$V$62:$Y$66,3,FALSE)</f>
        <v>5</v>
      </c>
      <c r="AH65" s="123">
        <f>VLOOKUP($AE65,$V$62:$Y$66,4,FALSE)</f>
        <v>16</v>
      </c>
      <c r="AI65" s="101"/>
    </row>
    <row r="66" spans="3:35" s="84" customFormat="1" x14ac:dyDescent="0.2">
      <c r="C66" s="419" t="str">
        <f>Data!D318</f>
        <v>Number of emitters:</v>
      </c>
      <c r="D66" s="420"/>
      <c r="E66" s="420"/>
      <c r="F66" s="420"/>
      <c r="G66" s="420"/>
      <c r="H66" s="421"/>
      <c r="I66" s="465">
        <f>SUM(F43:F58)</f>
        <v>16</v>
      </c>
      <c r="J66" s="466"/>
      <c r="K66" s="440">
        <f>Data!E318</f>
        <v>16</v>
      </c>
      <c r="L66" s="442"/>
      <c r="M66" s="440">
        <f>Data!E327</f>
        <v>15</v>
      </c>
      <c r="N66" s="442"/>
      <c r="O66" s="440">
        <f>Data!E336</f>
        <v>16</v>
      </c>
      <c r="P66" s="442"/>
      <c r="Q66" s="440">
        <f>Data!E345</f>
        <v>16</v>
      </c>
      <c r="R66" s="442"/>
      <c r="S66" s="102"/>
      <c r="U66" s="126">
        <v>5</v>
      </c>
      <c r="V66" s="126">
        <f>Q64</f>
        <v>54</v>
      </c>
      <c r="W66" s="126">
        <f>Q65</f>
        <v>5150</v>
      </c>
      <c r="X66" s="126">
        <f>Q63</f>
        <v>5</v>
      </c>
      <c r="Y66" s="126">
        <f>Q66</f>
        <v>16</v>
      </c>
      <c r="AA66" s="126">
        <f>RANK(AB66,$AB$62:$AB$66,1)</f>
        <v>4</v>
      </c>
      <c r="AB66" s="126">
        <f>V66</f>
        <v>54</v>
      </c>
      <c r="AC66" s="126">
        <f>IF(ISERROR(VLOOKUP(ROW(AC66)-61,$AA$62:$AB$66,2,FALSE)),AC65,VLOOKUP(ROW(AC66)-61,$AA$62:$AB$66,2,FALSE))</f>
        <v>65</v>
      </c>
      <c r="AE66" s="123">
        <f>AC66</f>
        <v>65</v>
      </c>
      <c r="AF66" s="123">
        <f>VLOOKUP($AE66,$V$62:$Y$66,2,FALSE)</f>
        <v>5165</v>
      </c>
      <c r="AG66" s="123">
        <f>VLOOKUP($AE66,$V$62:$Y$66,3,FALSE)</f>
        <v>5</v>
      </c>
      <c r="AH66" s="123">
        <f>VLOOKUP($AE66,$V$62:$Y$66,4,FALSE)</f>
        <v>16</v>
      </c>
      <c r="AI66" s="101"/>
    </row>
    <row r="67" spans="3:35" s="84" customFormat="1" x14ac:dyDescent="0.2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AI67" s="101"/>
    </row>
    <row r="68" spans="3:35" s="84" customFormat="1" x14ac:dyDescent="0.2">
      <c r="C68" s="84" t="s">
        <v>317</v>
      </c>
    </row>
    <row r="69" spans="3:35" s="84" customFormat="1" x14ac:dyDescent="0.2">
      <c r="C69" s="416" t="s">
        <v>316</v>
      </c>
      <c r="D69" s="417"/>
      <c r="E69" s="417"/>
      <c r="F69" s="417"/>
      <c r="G69" s="417"/>
      <c r="H69" s="418"/>
      <c r="I69" s="465">
        <f>I65*60/(1000*I63*I66)</f>
        <v>3.8737499999999998</v>
      </c>
      <c r="J69" s="466"/>
      <c r="K69" s="465">
        <f>K65*60/(1000*K63*K66)</f>
        <v>3.8062499999999999</v>
      </c>
      <c r="L69" s="466"/>
      <c r="M69" s="465">
        <f>M65*60/(1000*M63*M66)</f>
        <v>3.75</v>
      </c>
      <c r="N69" s="466"/>
      <c r="O69" s="465">
        <f>O65*60/(1000*O63*O66)</f>
        <v>3.8374999999999999</v>
      </c>
      <c r="P69" s="466"/>
      <c r="Q69" s="465">
        <f>Q65*60/(1000*Q63*Q66)</f>
        <v>3.8624999999999998</v>
      </c>
      <c r="R69" s="466"/>
      <c r="S69" s="103" t="s">
        <v>8</v>
      </c>
    </row>
    <row r="70" spans="3:35" s="84" customFormat="1" x14ac:dyDescent="0.2">
      <c r="C70" s="419" t="s">
        <v>338</v>
      </c>
      <c r="D70" s="420"/>
      <c r="E70" s="420"/>
      <c r="F70" s="420"/>
      <c r="G70" s="420"/>
      <c r="H70" s="421"/>
      <c r="I70" s="440">
        <f>I64</f>
        <v>65</v>
      </c>
      <c r="J70" s="442"/>
      <c r="K70" s="440">
        <f>K64</f>
        <v>15</v>
      </c>
      <c r="L70" s="442"/>
      <c r="M70" s="440">
        <f>M64</f>
        <v>31</v>
      </c>
      <c r="N70" s="442"/>
      <c r="O70" s="440">
        <f>O64</f>
        <v>46</v>
      </c>
      <c r="P70" s="442"/>
      <c r="Q70" s="440">
        <f>Q64</f>
        <v>54</v>
      </c>
      <c r="R70" s="442"/>
      <c r="S70" s="102" t="str">
        <f>S64</f>
        <v>psi</v>
      </c>
    </row>
    <row r="71" spans="3:35" s="84" customFormat="1" x14ac:dyDescent="0.2"/>
    <row r="72" spans="3:35" s="84" customFormat="1" x14ac:dyDescent="0.2"/>
    <row r="73" spans="3:35" s="84" customFormat="1" x14ac:dyDescent="0.2"/>
    <row r="74" spans="3:35" s="84" customFormat="1" ht="15" x14ac:dyDescent="0.25">
      <c r="C74" s="462" t="s">
        <v>318</v>
      </c>
      <c r="D74" s="463"/>
    </row>
    <row r="75" spans="3:35" s="84" customFormat="1" x14ac:dyDescent="0.2">
      <c r="C75" s="419" t="str">
        <f>Data!D351</f>
        <v>Collection time:</v>
      </c>
      <c r="D75" s="420"/>
      <c r="E75" s="420"/>
      <c r="F75" s="420"/>
      <c r="G75" s="420"/>
      <c r="H75" s="421"/>
      <c r="I75" s="97">
        <f>Data!E351</f>
        <v>7</v>
      </c>
      <c r="J75" s="97" t="str">
        <f>Data!F351</f>
        <v>minutes</v>
      </c>
    </row>
    <row r="76" spans="3:35" s="84" customFormat="1" x14ac:dyDescent="0.2">
      <c r="C76" s="419" t="str">
        <f>Data!D352</f>
        <v>Hose pressure at emitters:</v>
      </c>
      <c r="D76" s="420"/>
      <c r="E76" s="420"/>
      <c r="F76" s="420"/>
      <c r="G76" s="420"/>
      <c r="H76" s="421"/>
      <c r="I76" s="97">
        <f>Data!E352</f>
        <v>36</v>
      </c>
      <c r="J76" s="97" t="str">
        <f>Data!F352</f>
        <v>psi</v>
      </c>
    </row>
    <row r="77" spans="3:35" s="84" customFormat="1" x14ac:dyDescent="0.2"/>
    <row r="78" spans="3:35" s="84" customFormat="1" x14ac:dyDescent="0.2">
      <c r="C78" s="97" t="s">
        <v>311</v>
      </c>
      <c r="D78" s="102" t="s">
        <v>147</v>
      </c>
    </row>
    <row r="79" spans="3:35" s="84" customFormat="1" x14ac:dyDescent="0.2">
      <c r="C79" s="102" t="s">
        <v>9</v>
      </c>
      <c r="D79" s="102">
        <f>Data!E354</f>
        <v>450</v>
      </c>
    </row>
    <row r="80" spans="3:35" s="84" customFormat="1" x14ac:dyDescent="0.2">
      <c r="C80" s="102" t="s">
        <v>10</v>
      </c>
      <c r="D80" s="102">
        <f>Data!E355</f>
        <v>480</v>
      </c>
      <c r="F80" s="440" t="str">
        <f>Data!D371</f>
        <v>Average emitter flow rate:</v>
      </c>
      <c r="G80" s="441"/>
      <c r="H80" s="442"/>
      <c r="I80" s="102">
        <f>Data!E371</f>
        <v>4.0714285714285712</v>
      </c>
      <c r="J80" s="102" t="str">
        <f>Data!F371</f>
        <v>lph</v>
      </c>
    </row>
    <row r="81" spans="3:4" s="84" customFormat="1" x14ac:dyDescent="0.2">
      <c r="C81" s="102" t="s">
        <v>11</v>
      </c>
      <c r="D81" s="102">
        <f>Data!E356</f>
        <v>470</v>
      </c>
    </row>
    <row r="82" spans="3:4" s="84" customFormat="1" x14ac:dyDescent="0.2">
      <c r="C82" s="102" t="s">
        <v>44</v>
      </c>
      <c r="D82" s="102">
        <f>Data!E357</f>
        <v>520</v>
      </c>
    </row>
    <row r="83" spans="3:4" s="84" customFormat="1" x14ac:dyDescent="0.2">
      <c r="C83" s="102" t="s">
        <v>45</v>
      </c>
      <c r="D83" s="102">
        <f>Data!E358</f>
        <v>450</v>
      </c>
    </row>
    <row r="84" spans="3:4" s="84" customFormat="1" x14ac:dyDescent="0.2">
      <c r="C84" s="102" t="s">
        <v>46</v>
      </c>
      <c r="D84" s="102">
        <f>Data!E359</f>
        <v>490</v>
      </c>
    </row>
    <row r="85" spans="3:4" s="84" customFormat="1" x14ac:dyDescent="0.2">
      <c r="C85" s="102" t="s">
        <v>47</v>
      </c>
      <c r="D85" s="102">
        <f>Data!E360</f>
        <v>500</v>
      </c>
    </row>
    <row r="86" spans="3:4" s="84" customFormat="1" x14ac:dyDescent="0.2">
      <c r="C86" s="102" t="s">
        <v>48</v>
      </c>
      <c r="D86" s="102">
        <f>Data!E361</f>
        <v>480</v>
      </c>
    </row>
    <row r="87" spans="3:4" s="84" customFormat="1" x14ac:dyDescent="0.2">
      <c r="C87" s="102" t="s">
        <v>49</v>
      </c>
      <c r="D87" s="102">
        <f>Data!E362</f>
        <v>500</v>
      </c>
    </row>
    <row r="88" spans="3:4" s="84" customFormat="1" x14ac:dyDescent="0.2">
      <c r="C88" s="102" t="s">
        <v>50</v>
      </c>
      <c r="D88" s="102">
        <f>Data!E363</f>
        <v>460</v>
      </c>
    </row>
    <row r="89" spans="3:4" s="84" customFormat="1" x14ac:dyDescent="0.2">
      <c r="C89" s="102" t="s">
        <v>51</v>
      </c>
      <c r="D89" s="102">
        <f>Data!E364</f>
        <v>420</v>
      </c>
    </row>
    <row r="90" spans="3:4" s="84" customFormat="1" x14ac:dyDescent="0.2">
      <c r="C90" s="102" t="s">
        <v>52</v>
      </c>
      <c r="D90" s="102">
        <f>Data!E365</f>
        <v>480</v>
      </c>
    </row>
    <row r="91" spans="3:4" s="84" customFormat="1" x14ac:dyDescent="0.2">
      <c r="C91" s="102" t="s">
        <v>53</v>
      </c>
      <c r="D91" s="102">
        <f>Data!E366</f>
        <v>460</v>
      </c>
    </row>
    <row r="92" spans="3:4" s="81" customFormat="1" x14ac:dyDescent="0.2">
      <c r="C92" s="102" t="s">
        <v>54</v>
      </c>
      <c r="D92" s="102">
        <f>Data!E367</f>
        <v>480</v>
      </c>
    </row>
    <row r="93" spans="3:4" s="81" customFormat="1" x14ac:dyDescent="0.2">
      <c r="C93" s="102" t="s">
        <v>55</v>
      </c>
      <c r="D93" s="102">
        <f>Data!E368</f>
        <v>480</v>
      </c>
    </row>
    <row r="94" spans="3:4" s="84" customFormat="1" x14ac:dyDescent="0.2">
      <c r="C94" s="102" t="s">
        <v>56</v>
      </c>
      <c r="D94" s="102">
        <f>Data!E369</f>
        <v>480</v>
      </c>
    </row>
    <row r="95" spans="3:4" s="84" customFormat="1" x14ac:dyDescent="0.2"/>
    <row r="96" spans="3:4" s="84" customFormat="1" x14ac:dyDescent="0.2"/>
    <row r="97" spans="3:10" s="84" customFormat="1" ht="15" x14ac:dyDescent="0.25">
      <c r="C97" s="462" t="s">
        <v>319</v>
      </c>
      <c r="D97" s="463"/>
    </row>
    <row r="98" spans="3:10" s="84" customFormat="1" x14ac:dyDescent="0.2">
      <c r="C98" s="419" t="str">
        <f>Data!D376</f>
        <v>Collection time:</v>
      </c>
      <c r="D98" s="420"/>
      <c r="E98" s="420"/>
      <c r="F98" s="420"/>
      <c r="G98" s="420"/>
      <c r="H98" s="421"/>
      <c r="I98" s="102">
        <f>Data!E376</f>
        <v>5</v>
      </c>
      <c r="J98" s="102" t="str">
        <f>Data!F376</f>
        <v>minutes</v>
      </c>
    </row>
    <row r="99" spans="3:10" s="84" customFormat="1" x14ac:dyDescent="0.2">
      <c r="C99" s="419" t="str">
        <f>Data!D377</f>
        <v>Hose pressure at emitters:</v>
      </c>
      <c r="D99" s="420"/>
      <c r="E99" s="420"/>
      <c r="F99" s="420"/>
      <c r="G99" s="420"/>
      <c r="H99" s="421"/>
      <c r="I99" s="102">
        <f>Data!E377</f>
        <v>60</v>
      </c>
      <c r="J99" s="102" t="str">
        <f>Data!F377</f>
        <v>psi</v>
      </c>
    </row>
    <row r="100" spans="3:10" s="84" customFormat="1" x14ac:dyDescent="0.2"/>
    <row r="101" spans="3:10" s="84" customFormat="1" x14ac:dyDescent="0.2">
      <c r="C101" s="97" t="s">
        <v>311</v>
      </c>
      <c r="D101" s="102" t="s">
        <v>147</v>
      </c>
    </row>
    <row r="102" spans="3:10" s="84" customFormat="1" x14ac:dyDescent="0.2">
      <c r="C102" s="102" t="s">
        <v>9</v>
      </c>
      <c r="D102" s="102">
        <f>Data!E379</f>
        <v>305</v>
      </c>
    </row>
    <row r="103" spans="3:10" s="84" customFormat="1" x14ac:dyDescent="0.2">
      <c r="C103" s="102" t="s">
        <v>10</v>
      </c>
      <c r="D103" s="179">
        <f>Data!E380</f>
        <v>320</v>
      </c>
      <c r="F103" s="465" t="str">
        <f>F80</f>
        <v>Average emitter flow rate:</v>
      </c>
      <c r="G103" s="470"/>
      <c r="H103" s="466"/>
      <c r="I103" s="103">
        <f>AVERAGE(D102:D129)*60/(1000*I98)</f>
        <v>3.855</v>
      </c>
      <c r="J103" s="103" t="s">
        <v>8</v>
      </c>
    </row>
    <row r="104" spans="3:10" s="84" customFormat="1" x14ac:dyDescent="0.2">
      <c r="C104" s="102" t="s">
        <v>11</v>
      </c>
      <c r="D104" s="179">
        <f>Data!E381</f>
        <v>305</v>
      </c>
    </row>
    <row r="105" spans="3:10" s="84" customFormat="1" x14ac:dyDescent="0.2">
      <c r="C105" s="102" t="s">
        <v>44</v>
      </c>
      <c r="D105" s="179">
        <f>Data!E382</f>
        <v>275</v>
      </c>
    </row>
    <row r="106" spans="3:10" s="84" customFormat="1" x14ac:dyDescent="0.2">
      <c r="C106" s="102" t="s">
        <v>45</v>
      </c>
      <c r="D106" s="179">
        <f>Data!E383</f>
        <v>355</v>
      </c>
    </row>
    <row r="107" spans="3:10" s="84" customFormat="1" x14ac:dyDescent="0.2">
      <c r="C107" s="102" t="s">
        <v>46</v>
      </c>
      <c r="D107" s="179">
        <f>Data!E384</f>
        <v>315</v>
      </c>
    </row>
    <row r="108" spans="3:10" s="84" customFormat="1" x14ac:dyDescent="0.2">
      <c r="C108" s="102" t="s">
        <v>47</v>
      </c>
      <c r="D108" s="179">
        <f>Data!E385</f>
        <v>325</v>
      </c>
    </row>
    <row r="109" spans="3:10" s="84" customFormat="1" x14ac:dyDescent="0.2">
      <c r="C109" s="102" t="s">
        <v>48</v>
      </c>
      <c r="D109" s="179">
        <f>Data!E386</f>
        <v>320</v>
      </c>
    </row>
    <row r="110" spans="3:10" s="84" customFormat="1" x14ac:dyDescent="0.2">
      <c r="C110" s="102" t="s">
        <v>49</v>
      </c>
      <c r="D110" s="179">
        <f>Data!E387</f>
        <v>315</v>
      </c>
    </row>
    <row r="111" spans="3:10" s="84" customFormat="1" x14ac:dyDescent="0.2">
      <c r="C111" s="102" t="s">
        <v>50</v>
      </c>
      <c r="D111" s="179">
        <f>Data!E388</f>
        <v>315</v>
      </c>
    </row>
    <row r="112" spans="3:10" s="84" customFormat="1" x14ac:dyDescent="0.2">
      <c r="C112" s="102" t="s">
        <v>51</v>
      </c>
      <c r="D112" s="179">
        <f>Data!E389</f>
        <v>310</v>
      </c>
    </row>
    <row r="113" spans="3:4" s="84" customFormat="1" x14ac:dyDescent="0.2">
      <c r="C113" s="102" t="s">
        <v>52</v>
      </c>
      <c r="D113" s="179">
        <f>Data!E390</f>
        <v>305</v>
      </c>
    </row>
    <row r="114" spans="3:4" s="84" customFormat="1" x14ac:dyDescent="0.2">
      <c r="C114" s="102" t="s">
        <v>53</v>
      </c>
      <c r="D114" s="179">
        <f>Data!E391</f>
        <v>330</v>
      </c>
    </row>
    <row r="115" spans="3:4" s="84" customFormat="1" x14ac:dyDescent="0.2">
      <c r="C115" s="102" t="s">
        <v>54</v>
      </c>
      <c r="D115" s="179">
        <f>Data!E392</f>
        <v>305</v>
      </c>
    </row>
    <row r="116" spans="3:4" s="84" customFormat="1" x14ac:dyDescent="0.2">
      <c r="C116" s="102" t="s">
        <v>55</v>
      </c>
      <c r="D116" s="179">
        <f>Data!E393</f>
        <v>330</v>
      </c>
    </row>
    <row r="117" spans="3:4" s="84" customFormat="1" x14ac:dyDescent="0.2">
      <c r="C117" s="102" t="s">
        <v>56</v>
      </c>
      <c r="D117" s="179">
        <f>Data!E394</f>
        <v>330</v>
      </c>
    </row>
    <row r="118" spans="3:4" s="84" customFormat="1" x14ac:dyDescent="0.2">
      <c r="C118" s="102" t="s">
        <v>75</v>
      </c>
      <c r="D118" s="179">
        <f>Data!E395</f>
        <v>305</v>
      </c>
    </row>
    <row r="119" spans="3:4" s="84" customFormat="1" x14ac:dyDescent="0.2">
      <c r="C119" s="102" t="s">
        <v>76</v>
      </c>
      <c r="D119" s="179">
        <f>Data!E396</f>
        <v>315</v>
      </c>
    </row>
    <row r="120" spans="3:4" s="84" customFormat="1" x14ac:dyDescent="0.2">
      <c r="C120" s="102" t="s">
        <v>77</v>
      </c>
      <c r="D120" s="179">
        <f>Data!E397</f>
        <v>335</v>
      </c>
    </row>
    <row r="121" spans="3:4" s="84" customFormat="1" x14ac:dyDescent="0.2">
      <c r="C121" s="102" t="s">
        <v>78</v>
      </c>
      <c r="D121" s="179">
        <f>Data!E398</f>
        <v>320</v>
      </c>
    </row>
    <row r="122" spans="3:4" s="84" customFormat="1" x14ac:dyDescent="0.2">
      <c r="C122" s="102" t="s">
        <v>79</v>
      </c>
      <c r="D122" s="179">
        <f>Data!E399</f>
        <v>340</v>
      </c>
    </row>
    <row r="123" spans="3:4" s="84" customFormat="1" x14ac:dyDescent="0.2">
      <c r="C123" s="102" t="s">
        <v>80</v>
      </c>
      <c r="D123" s="179">
        <f>Data!E400</f>
        <v>335</v>
      </c>
    </row>
    <row r="124" spans="3:4" s="84" customFormat="1" x14ac:dyDescent="0.2">
      <c r="C124" s="102" t="s">
        <v>81</v>
      </c>
      <c r="D124" s="179">
        <f>Data!E401</f>
        <v>345</v>
      </c>
    </row>
    <row r="125" spans="3:4" s="84" customFormat="1" x14ac:dyDescent="0.2">
      <c r="C125" s="102" t="s">
        <v>82</v>
      </c>
      <c r="D125" s="179">
        <f>Data!E402</f>
        <v>325</v>
      </c>
    </row>
    <row r="126" spans="3:4" s="84" customFormat="1" x14ac:dyDescent="0.2">
      <c r="C126" s="102" t="s">
        <v>83</v>
      </c>
      <c r="D126" s="179">
        <f>Data!E403</f>
        <v>330</v>
      </c>
    </row>
    <row r="127" spans="3:4" s="84" customFormat="1" x14ac:dyDescent="0.2">
      <c r="C127" s="102" t="s">
        <v>84</v>
      </c>
      <c r="D127" s="179">
        <f>Data!E404</f>
        <v>320</v>
      </c>
    </row>
    <row r="128" spans="3:4" s="84" customFormat="1" x14ac:dyDescent="0.2">
      <c r="C128" s="102" t="s">
        <v>85</v>
      </c>
      <c r="D128" s="179">
        <f>Data!E405</f>
        <v>345</v>
      </c>
    </row>
    <row r="129" spans="1:14" s="84" customFormat="1" x14ac:dyDescent="0.2">
      <c r="C129" s="102" t="s">
        <v>86</v>
      </c>
      <c r="D129" s="179">
        <f>Data!E406</f>
        <v>320</v>
      </c>
    </row>
    <row r="130" spans="1:14" s="84" customFormat="1" x14ac:dyDescent="0.2"/>
    <row r="131" spans="1:14" s="81" customFormat="1" x14ac:dyDescent="0.2">
      <c r="A131" s="4"/>
      <c r="B131" s="4"/>
      <c r="D131" s="189"/>
    </row>
    <row r="132" spans="1:14" s="81" customFormat="1" ht="15.75" x14ac:dyDescent="0.25">
      <c r="A132" s="87">
        <v>2</v>
      </c>
      <c r="B132" s="88" t="s">
        <v>274</v>
      </c>
    </row>
    <row r="133" spans="1:14" s="81" customFormat="1" x14ac:dyDescent="0.2"/>
    <row r="134" spans="1:14" s="84" customFormat="1" x14ac:dyDescent="0.2"/>
    <row r="135" spans="1:14" s="84" customFormat="1" x14ac:dyDescent="0.2"/>
    <row r="136" spans="1:14" s="84" customFormat="1" x14ac:dyDescent="0.2"/>
    <row r="137" spans="1:14" s="81" customFormat="1" x14ac:dyDescent="0.2">
      <c r="B137" s="84" t="s">
        <v>334</v>
      </c>
    </row>
    <row r="138" spans="1:14" s="81" customFormat="1" ht="60.75" customHeight="1" x14ac:dyDescent="0.2">
      <c r="B138" s="112">
        <v>1</v>
      </c>
      <c r="C138" s="467" t="str">
        <f>Data!D266</f>
        <v>Question #1:  Do you know that the discharge exponent of the emitters is about 0.5 (non-pressure compensating microsprayers, non-pressure compensating microsprinklers, clean tortuous path emitters, and most tapes)?</v>
      </c>
      <c r="D138" s="468"/>
      <c r="E138" s="468"/>
      <c r="F138" s="468"/>
      <c r="G138" s="468"/>
      <c r="H138" s="469"/>
      <c r="I138" s="110">
        <f>Data!G266</f>
        <v>3</v>
      </c>
      <c r="J138" s="109"/>
      <c r="K138" s="81">
        <v>1</v>
      </c>
      <c r="L138" s="111"/>
      <c r="M138" s="111" t="s">
        <v>335</v>
      </c>
      <c r="N138" s="111"/>
    </row>
    <row r="139" spans="1:14" s="81" customFormat="1" ht="45.75" customHeight="1" x14ac:dyDescent="0.2">
      <c r="B139" s="112">
        <v>2</v>
      </c>
      <c r="C139" s="467" t="str">
        <f>Data!D271</f>
        <v>Question #2:  Is the emitter non-pressure compensating, and the discharge exponent is not known to equal 0.5 ?</v>
      </c>
      <c r="D139" s="468"/>
      <c r="E139" s="468"/>
      <c r="F139" s="468"/>
      <c r="G139" s="468"/>
      <c r="H139" s="469"/>
      <c r="I139" s="110">
        <f>Data!G271</f>
        <v>3</v>
      </c>
      <c r="J139" s="109"/>
      <c r="K139" s="109">
        <v>2</v>
      </c>
      <c r="L139" s="109"/>
      <c r="M139" s="109"/>
      <c r="N139" s="109"/>
    </row>
    <row r="140" spans="1:14" s="81" customFormat="1" ht="33.75" customHeight="1" x14ac:dyDescent="0.2">
      <c r="B140" s="112">
        <v>3</v>
      </c>
      <c r="C140" s="467" t="str">
        <f>Data!D276</f>
        <v>Question #3:  Does the emitter or microsprayer or microsprinkler have a pressure compensating (PC) feature?</v>
      </c>
      <c r="D140" s="468"/>
      <c r="E140" s="468"/>
      <c r="F140" s="468"/>
      <c r="G140" s="468"/>
      <c r="H140" s="469"/>
      <c r="I140" s="110">
        <f>Data!G276</f>
        <v>2</v>
      </c>
      <c r="J140" s="109"/>
      <c r="K140" s="109">
        <v>3</v>
      </c>
      <c r="L140" s="109"/>
      <c r="M140" s="109"/>
      <c r="N140" s="109"/>
    </row>
    <row r="141" spans="1:14" s="81" customFormat="1" x14ac:dyDescent="0.2"/>
    <row r="142" spans="1:14" s="81" customFormat="1" x14ac:dyDescent="0.2">
      <c r="C142" s="416" t="s">
        <v>368</v>
      </c>
      <c r="D142" s="417"/>
      <c r="E142" s="417"/>
      <c r="F142" s="417"/>
      <c r="G142" s="417"/>
      <c r="H142" s="418"/>
      <c r="I142" s="98">
        <f>VLOOKUP(2,I138:K140,3,FALSE)</f>
        <v>3</v>
      </c>
      <c r="K142" s="90"/>
      <c r="L142" s="90"/>
      <c r="M142" s="90"/>
      <c r="N142" s="90"/>
    </row>
    <row r="143" spans="1:14" s="81" customFormat="1" x14ac:dyDescent="0.2"/>
    <row r="145" spans="3:10" x14ac:dyDescent="0.2">
      <c r="D145" s="84" t="s">
        <v>336</v>
      </c>
    </row>
    <row r="146" spans="3:10" s="84" customFormat="1" x14ac:dyDescent="0.2"/>
    <row r="147" spans="3:10" s="84" customFormat="1" x14ac:dyDescent="0.2"/>
    <row r="148" spans="3:10" s="84" customFormat="1" x14ac:dyDescent="0.2"/>
    <row r="149" spans="3:10" s="84" customFormat="1" x14ac:dyDescent="0.2">
      <c r="D149" s="84" t="s">
        <v>337</v>
      </c>
    </row>
    <row r="150" spans="3:10" s="84" customFormat="1" x14ac:dyDescent="0.2"/>
    <row r="151" spans="3:10" s="84" customFormat="1" x14ac:dyDescent="0.2">
      <c r="I151" s="85" t="s">
        <v>339</v>
      </c>
      <c r="J151" s="85" t="s">
        <v>340</v>
      </c>
    </row>
    <row r="152" spans="3:10" s="84" customFormat="1" x14ac:dyDescent="0.2">
      <c r="C152" s="416" t="str">
        <f>C69</f>
        <v>Average emitter flow</v>
      </c>
      <c r="D152" s="417"/>
      <c r="E152" s="417"/>
      <c r="F152" s="417"/>
      <c r="G152" s="417"/>
      <c r="H152" s="418"/>
      <c r="I152" s="103">
        <f>I69</f>
        <v>3.8737499999999998</v>
      </c>
      <c r="J152" s="103">
        <f>K69</f>
        <v>3.8062499999999999</v>
      </c>
    </row>
    <row r="153" spans="3:10" s="84" customFormat="1" x14ac:dyDescent="0.2">
      <c r="C153" s="416" t="str">
        <f>C70</f>
        <v>Display pressure for each test again:</v>
      </c>
      <c r="D153" s="417"/>
      <c r="E153" s="417"/>
      <c r="F153" s="417"/>
      <c r="G153" s="417"/>
      <c r="H153" s="418"/>
      <c r="I153" s="103">
        <f>I70</f>
        <v>65</v>
      </c>
      <c r="J153" s="103">
        <f>K70</f>
        <v>15</v>
      </c>
    </row>
    <row r="154" spans="3:10" s="84" customFormat="1" x14ac:dyDescent="0.2"/>
    <row r="155" spans="3:10" s="84" customFormat="1" x14ac:dyDescent="0.2"/>
    <row r="156" spans="3:10" s="84" customFormat="1" x14ac:dyDescent="0.2">
      <c r="C156" s="416" t="s">
        <v>342</v>
      </c>
      <c r="D156" s="417"/>
      <c r="E156" s="417"/>
      <c r="F156" s="417"/>
      <c r="G156" s="417"/>
      <c r="H156" s="418"/>
      <c r="I156" s="98">
        <f>LOG(J152/I152)</f>
        <v>-7.6342792703888275E-3</v>
      </c>
    </row>
    <row r="157" spans="3:10" s="84" customFormat="1" x14ac:dyDescent="0.2">
      <c r="C157" s="416" t="s">
        <v>341</v>
      </c>
      <c r="D157" s="417"/>
      <c r="E157" s="417"/>
      <c r="F157" s="417"/>
      <c r="G157" s="417"/>
      <c r="H157" s="418"/>
      <c r="I157" s="98">
        <f>LOG(J153/I153)</f>
        <v>-0.63682209758717434</v>
      </c>
    </row>
    <row r="158" spans="3:10" s="84" customFormat="1" x14ac:dyDescent="0.2"/>
    <row r="159" spans="3:10" s="84" customFormat="1" x14ac:dyDescent="0.2">
      <c r="C159" s="416" t="s">
        <v>343</v>
      </c>
      <c r="D159" s="417"/>
      <c r="E159" s="417"/>
      <c r="F159" s="417"/>
      <c r="G159" s="417"/>
      <c r="H159" s="418"/>
      <c r="I159" s="98">
        <f>I156/I157</f>
        <v>1.1988087880923093E-2</v>
      </c>
    </row>
    <row r="160" spans="3:10" s="84" customFormat="1" x14ac:dyDescent="0.2"/>
    <row r="161" spans="2:36" s="84" customFormat="1" x14ac:dyDescent="0.2"/>
    <row r="162" spans="2:36" s="84" customFormat="1" x14ac:dyDescent="0.2"/>
    <row r="163" spans="2:36" s="84" customFormat="1" x14ac:dyDescent="0.2">
      <c r="B163" s="90"/>
      <c r="C163" s="90"/>
      <c r="D163" s="90"/>
      <c r="E163" s="90"/>
      <c r="F163" s="90"/>
      <c r="G163" s="90"/>
    </row>
    <row r="164" spans="2:36" s="84" customFormat="1" ht="14.25" customHeight="1" x14ac:dyDescent="0.2">
      <c r="B164" s="471" t="s">
        <v>380</v>
      </c>
      <c r="C164" s="471"/>
      <c r="D164" s="471"/>
      <c r="E164" s="471"/>
      <c r="F164" s="90"/>
      <c r="G164" s="90"/>
      <c r="H164" s="471" t="s">
        <v>381</v>
      </c>
      <c r="I164" s="471"/>
      <c r="J164" s="471"/>
      <c r="K164" s="471"/>
      <c r="Q164" s="472" t="s">
        <v>367</v>
      </c>
      <c r="R164" s="472"/>
      <c r="S164" s="472"/>
      <c r="T164" s="472"/>
      <c r="U164" s="472"/>
      <c r="V164" s="472"/>
      <c r="W164" s="472"/>
      <c r="X164" s="472"/>
      <c r="Y164" s="472"/>
      <c r="Z164" s="472"/>
      <c r="AA164" s="472"/>
      <c r="AB164" s="472"/>
      <c r="AC164" s="472"/>
      <c r="AD164" s="472"/>
      <c r="AE164" s="472"/>
      <c r="AF164" s="472"/>
      <c r="AG164" s="472"/>
      <c r="AH164" s="472"/>
    </row>
    <row r="165" spans="2:36" s="84" customFormat="1" x14ac:dyDescent="0.2">
      <c r="B165" s="471"/>
      <c r="C165" s="471"/>
      <c r="D165" s="471"/>
      <c r="E165" s="471"/>
      <c r="F165" s="90"/>
      <c r="G165" s="90"/>
      <c r="H165" s="471"/>
      <c r="I165" s="471"/>
      <c r="J165" s="471"/>
      <c r="K165" s="471"/>
      <c r="Q165" s="472"/>
      <c r="R165" s="472"/>
      <c r="S165" s="472"/>
      <c r="T165" s="472"/>
      <c r="U165" s="472"/>
      <c r="V165" s="472"/>
      <c r="W165" s="472"/>
      <c r="X165" s="472"/>
      <c r="Y165" s="472"/>
      <c r="Z165" s="472"/>
      <c r="AA165" s="472"/>
      <c r="AB165" s="472"/>
      <c r="AC165" s="472"/>
      <c r="AD165" s="472"/>
      <c r="AE165" s="472"/>
      <c r="AF165" s="472"/>
      <c r="AG165" s="472"/>
      <c r="AH165" s="472"/>
    </row>
    <row r="166" spans="2:36" s="84" customFormat="1" x14ac:dyDescent="0.2">
      <c r="B166" s="471"/>
      <c r="C166" s="471"/>
      <c r="D166" s="471"/>
      <c r="E166" s="471"/>
      <c r="H166" s="471"/>
      <c r="I166" s="471"/>
      <c r="J166" s="471"/>
      <c r="K166" s="471"/>
      <c r="Q166" s="472"/>
      <c r="R166" s="472"/>
      <c r="S166" s="472"/>
      <c r="T166" s="472"/>
      <c r="U166" s="472"/>
      <c r="V166" s="472"/>
      <c r="W166" s="472"/>
      <c r="X166" s="472"/>
      <c r="Y166" s="472"/>
      <c r="Z166" s="472"/>
      <c r="AA166" s="472"/>
      <c r="AB166" s="472"/>
      <c r="AC166" s="472"/>
      <c r="AD166" s="472"/>
      <c r="AE166" s="472"/>
      <c r="AF166" s="472"/>
      <c r="AG166" s="472"/>
      <c r="AH166" s="472"/>
    </row>
    <row r="167" spans="2:36" s="84" customFormat="1" x14ac:dyDescent="0.2"/>
    <row r="168" spans="2:36" s="84" customFormat="1" ht="17.25" x14ac:dyDescent="0.3">
      <c r="B168" s="439" t="s">
        <v>376</v>
      </c>
      <c r="C168" s="439"/>
      <c r="D168" s="439"/>
      <c r="E168" s="127">
        <f>E172/E173</f>
        <v>0.78030265341350902</v>
      </c>
      <c r="H168" s="439" t="s">
        <v>375</v>
      </c>
      <c r="I168" s="439"/>
      <c r="J168" s="439"/>
      <c r="K168" s="99">
        <f>K172/K173</f>
        <v>0.99411154959163417</v>
      </c>
      <c r="AE168" s="439" t="s">
        <v>369</v>
      </c>
      <c r="AF168" s="439"/>
      <c r="AG168" s="439"/>
      <c r="AH168" s="84">
        <f>AH172/AH173</f>
        <v>0.98473494158225339</v>
      </c>
    </row>
    <row r="169" spans="2:36" s="84" customFormat="1" ht="15" x14ac:dyDescent="0.25">
      <c r="B169" s="438" t="s">
        <v>364</v>
      </c>
      <c r="C169" s="438"/>
      <c r="D169" s="438"/>
      <c r="E169" s="84">
        <f>SUM(B185:B244)</f>
        <v>36</v>
      </c>
      <c r="H169" s="438" t="s">
        <v>364</v>
      </c>
      <c r="I169" s="438"/>
      <c r="J169" s="438"/>
      <c r="K169" s="99">
        <f>SUM(B185:B244)</f>
        <v>36</v>
      </c>
      <c r="AE169" s="438" t="s">
        <v>364</v>
      </c>
      <c r="AF169" s="438"/>
      <c r="AG169" s="438"/>
      <c r="AH169" s="84">
        <f>SUM(AD185:AD244)</f>
        <v>36</v>
      </c>
    </row>
    <row r="170" spans="2:36" s="84" customFormat="1" ht="15" x14ac:dyDescent="0.25">
      <c r="B170" s="438" t="s">
        <v>365</v>
      </c>
      <c r="C170" s="438"/>
      <c r="D170" s="438"/>
      <c r="E170" s="84">
        <f>INT(E169/4)</f>
        <v>9</v>
      </c>
      <c r="H170" s="438" t="s">
        <v>365</v>
      </c>
      <c r="I170" s="438"/>
      <c r="J170" s="438"/>
      <c r="K170" s="99">
        <f>INT(K169/4)</f>
        <v>9</v>
      </c>
      <c r="AE170" s="438" t="s">
        <v>365</v>
      </c>
      <c r="AF170" s="438"/>
      <c r="AG170" s="438"/>
      <c r="AH170" s="84">
        <f>INT(AH169/4)</f>
        <v>9</v>
      </c>
    </row>
    <row r="171" spans="2:36" s="84" customFormat="1" ht="15" x14ac:dyDescent="0.25">
      <c r="B171" s="438" t="s">
        <v>374</v>
      </c>
      <c r="C171" s="438"/>
      <c r="D171" s="438"/>
      <c r="E171" s="84">
        <f>VLOOKUP(E170,A185:N244,14,FALSE)</f>
        <v>49.128455940547894</v>
      </c>
      <c r="H171" s="438" t="s">
        <v>374</v>
      </c>
      <c r="I171" s="438"/>
      <c r="J171" s="438"/>
      <c r="K171" s="99">
        <f>VLOOKUP(K170,A185:O244,15,FALSE)</f>
        <v>9.3711792268337746</v>
      </c>
      <c r="AE171" s="438" t="s">
        <v>374</v>
      </c>
      <c r="AF171" s="438"/>
      <c r="AG171" s="438"/>
      <c r="AH171" s="84">
        <f>VLOOKUP(AH170,AH185:AM244,6,FALSE)</f>
        <v>34.038697916666663</v>
      </c>
      <c r="AJ171"/>
    </row>
    <row r="172" spans="2:36" s="84" customFormat="1" ht="15" x14ac:dyDescent="0.25">
      <c r="B172" s="438" t="s">
        <v>370</v>
      </c>
      <c r="C172" s="438"/>
      <c r="D172" s="438"/>
      <c r="E172" s="84">
        <f>E171/E170</f>
        <v>5.4587173267275437</v>
      </c>
      <c r="H172" s="438" t="s">
        <v>370</v>
      </c>
      <c r="I172" s="438"/>
      <c r="J172" s="438"/>
      <c r="K172" s="99">
        <f>K171/K170</f>
        <v>1.0412421363148638</v>
      </c>
      <c r="X172" s="429" t="s">
        <v>432</v>
      </c>
      <c r="Y172" s="429"/>
      <c r="Z172" s="429"/>
      <c r="AA172" s="429"/>
      <c r="AB172" s="429"/>
      <c r="AE172" s="438" t="s">
        <v>370</v>
      </c>
      <c r="AF172" s="438"/>
      <c r="AG172" s="438"/>
      <c r="AH172" s="84">
        <f>AH171/AH170</f>
        <v>3.7820775462962959</v>
      </c>
      <c r="AJ172"/>
    </row>
    <row r="173" spans="2:36" s="84" customFormat="1" ht="15" x14ac:dyDescent="0.25">
      <c r="B173" s="437" t="s">
        <v>371</v>
      </c>
      <c r="C173" s="437"/>
      <c r="D173" s="437"/>
      <c r="E173" s="133">
        <f>SUM(J185:J244)/E169</f>
        <v>6.9956411180301128</v>
      </c>
      <c r="H173" s="437" t="s">
        <v>371</v>
      </c>
      <c r="I173" s="437"/>
      <c r="J173" s="437"/>
      <c r="K173" s="133">
        <f>SUM(K185:K244)/K169</f>
        <v>1.047409756724575</v>
      </c>
      <c r="R173" s="84" t="s">
        <v>361</v>
      </c>
      <c r="T173" s="84" t="s">
        <v>362</v>
      </c>
      <c r="W173"/>
      <c r="X173"/>
      <c r="Y173" t="s">
        <v>355</v>
      </c>
      <c r="Z173" t="s">
        <v>356</v>
      </c>
      <c r="AA173" t="s">
        <v>357</v>
      </c>
      <c r="AB173" t="s">
        <v>358</v>
      </c>
      <c r="AE173" s="437" t="s">
        <v>371</v>
      </c>
      <c r="AF173" s="437"/>
      <c r="AG173" s="437"/>
      <c r="AH173" s="99">
        <f>SUM(AK185:AK244)/AH169</f>
        <v>3.8407061500420872</v>
      </c>
      <c r="AJ173"/>
    </row>
    <row r="174" spans="2:36" s="84" customFormat="1" ht="15" x14ac:dyDescent="0.25">
      <c r="B174" s="125"/>
      <c r="C174" s="125"/>
      <c r="D174" s="125"/>
      <c r="E174" s="127"/>
      <c r="F174" s="99"/>
      <c r="G174" s="99"/>
      <c r="H174" s="125"/>
      <c r="I174" s="125"/>
      <c r="J174" s="125"/>
      <c r="K174" s="99"/>
      <c r="R174" s="84">
        <f>Z174*60/AA174/AB174/1000</f>
        <v>3.8062499999999999</v>
      </c>
      <c r="T174" s="84">
        <f>(R175-R174)/(Y175-Y174)</f>
        <v>-3.5156249999999944E-3</v>
      </c>
      <c r="W174"/>
      <c r="X174" s="121"/>
      <c r="Y174" s="122">
        <f t="shared" ref="Y174:AB178" si="0">AE62</f>
        <v>15</v>
      </c>
      <c r="Z174" s="122">
        <f t="shared" si="0"/>
        <v>4060</v>
      </c>
      <c r="AA174" s="122">
        <f t="shared" si="0"/>
        <v>4</v>
      </c>
      <c r="AB174" s="122">
        <f t="shared" si="0"/>
        <v>16</v>
      </c>
      <c r="AE174" s="125"/>
      <c r="AF174" s="125"/>
      <c r="AG174" s="125"/>
      <c r="AJ174"/>
    </row>
    <row r="175" spans="2:36" s="84" customFormat="1" ht="15" x14ac:dyDescent="0.25">
      <c r="R175" s="84">
        <f>Z175*60/AA175/AB175/1000</f>
        <v>3.75</v>
      </c>
      <c r="T175" s="84">
        <f>(R176-R175)/(Y176-Y175)</f>
        <v>5.8333333333333275E-3</v>
      </c>
      <c r="W175"/>
      <c r="X175" s="121"/>
      <c r="Y175" s="122">
        <f t="shared" si="0"/>
        <v>31</v>
      </c>
      <c r="Z175" s="122">
        <f t="shared" si="0"/>
        <v>3750</v>
      </c>
      <c r="AA175" s="122">
        <f t="shared" si="0"/>
        <v>4</v>
      </c>
      <c r="AB175" s="122">
        <f t="shared" si="0"/>
        <v>15</v>
      </c>
      <c r="AJ175"/>
    </row>
    <row r="176" spans="2:36" s="84" customFormat="1" ht="15" x14ac:dyDescent="0.25">
      <c r="R176" s="84">
        <f>Z176*60/AA176/AB176/1000</f>
        <v>3.8374999999999999</v>
      </c>
      <c r="T176" s="84">
        <f>(R177-R176)/(Y177-Y176)</f>
        <v>3.1249999999999889E-3</v>
      </c>
      <c r="W176"/>
      <c r="X176" s="121"/>
      <c r="Y176" s="122">
        <f t="shared" si="0"/>
        <v>46</v>
      </c>
      <c r="Z176" s="122">
        <f t="shared" si="0"/>
        <v>3070</v>
      </c>
      <c r="AA176" s="122">
        <f t="shared" si="0"/>
        <v>3</v>
      </c>
      <c r="AB176" s="122">
        <f t="shared" si="0"/>
        <v>16</v>
      </c>
      <c r="AJ176"/>
    </row>
    <row r="177" spans="1:39" s="84" customFormat="1" ht="15" x14ac:dyDescent="0.25">
      <c r="R177" s="84">
        <f>Z177*60/AA177/AB177/1000</f>
        <v>3.8624999999999998</v>
      </c>
      <c r="T177" s="84">
        <f>(R178-R177)/(Y178-Y177)</f>
        <v>1.0227272727272711E-3</v>
      </c>
      <c r="W177"/>
      <c r="X177" s="121"/>
      <c r="Y177" s="122">
        <f t="shared" si="0"/>
        <v>54</v>
      </c>
      <c r="Z177" s="122">
        <f t="shared" si="0"/>
        <v>5150</v>
      </c>
      <c r="AA177" s="122">
        <f t="shared" si="0"/>
        <v>5</v>
      </c>
      <c r="AB177" s="122">
        <f t="shared" si="0"/>
        <v>16</v>
      </c>
      <c r="AF177"/>
    </row>
    <row r="178" spans="1:39" s="84" customFormat="1" ht="15" x14ac:dyDescent="0.25">
      <c r="R178" s="84">
        <f>Z178*60/AA178/AB178/1000</f>
        <v>3.8737499999999998</v>
      </c>
      <c r="W178"/>
      <c r="X178" s="121"/>
      <c r="Y178" s="122">
        <f t="shared" si="0"/>
        <v>65</v>
      </c>
      <c r="Z178" s="122">
        <f t="shared" si="0"/>
        <v>5165</v>
      </c>
      <c r="AA178" s="122">
        <f t="shared" si="0"/>
        <v>5</v>
      </c>
      <c r="AB178" s="122">
        <f t="shared" si="0"/>
        <v>16</v>
      </c>
    </row>
    <row r="179" spans="1:39" s="84" customFormat="1" x14ac:dyDescent="0.2"/>
    <row r="180" spans="1:39" s="84" customFormat="1" x14ac:dyDescent="0.2">
      <c r="B180" s="84" t="s">
        <v>344</v>
      </c>
      <c r="AC180" s="124"/>
    </row>
    <row r="181" spans="1:39" s="84" customFormat="1" ht="15.75" customHeight="1" thickBot="1" x14ac:dyDescent="0.25">
      <c r="C181" s="84" t="s">
        <v>349</v>
      </c>
      <c r="J181" s="428" t="s">
        <v>445</v>
      </c>
      <c r="K181" s="428"/>
      <c r="L181" s="428"/>
    </row>
    <row r="182" spans="1:39" s="84" customFormat="1" ht="30" customHeight="1" x14ac:dyDescent="0.25">
      <c r="J182" s="428"/>
      <c r="K182" s="428"/>
      <c r="L182" s="428"/>
      <c r="N182" s="428" t="s">
        <v>378</v>
      </c>
      <c r="O182" s="428" t="s">
        <v>379</v>
      </c>
      <c r="Q182" s="408" t="s">
        <v>350</v>
      </c>
      <c r="R182" s="409"/>
      <c r="S182" s="409"/>
      <c r="T182" s="409"/>
      <c r="U182" s="409"/>
      <c r="V182" s="410"/>
      <c r="W182" s="408" t="s">
        <v>351</v>
      </c>
      <c r="X182" s="409"/>
      <c r="Y182" s="409"/>
      <c r="Z182" s="409"/>
      <c r="AA182" s="409"/>
      <c r="AB182" s="410"/>
      <c r="AC182"/>
      <c r="AD182"/>
      <c r="AF182" s="428" t="s">
        <v>366</v>
      </c>
      <c r="AH182" s="428" t="s">
        <v>439</v>
      </c>
      <c r="AI182" s="428"/>
      <c r="AJ182" s="428"/>
      <c r="AK182" s="428"/>
      <c r="AL182" s="428"/>
      <c r="AM182" s="428"/>
    </row>
    <row r="183" spans="1:39" s="84" customFormat="1" ht="15" customHeight="1" x14ac:dyDescent="0.25">
      <c r="A183" s="428" t="s">
        <v>363</v>
      </c>
      <c r="B183" s="428" t="s">
        <v>373</v>
      </c>
      <c r="D183" s="428" t="s">
        <v>372</v>
      </c>
      <c r="F183" s="428" t="s">
        <v>377</v>
      </c>
      <c r="J183" s="85" t="s">
        <v>346</v>
      </c>
      <c r="K183" s="85" t="s">
        <v>347</v>
      </c>
      <c r="L183" s="85" t="s">
        <v>348</v>
      </c>
      <c r="N183" s="428"/>
      <c r="O183" s="428"/>
      <c r="Q183" s="115"/>
      <c r="R183" s="116">
        <f>Y174</f>
        <v>15</v>
      </c>
      <c r="S183" s="116">
        <f>Y175</f>
        <v>31</v>
      </c>
      <c r="T183" s="116">
        <f>Y176</f>
        <v>46</v>
      </c>
      <c r="U183" s="116">
        <f>Y177</f>
        <v>54</v>
      </c>
      <c r="V183" s="117">
        <f>Y178</f>
        <v>65</v>
      </c>
      <c r="W183" s="115"/>
      <c r="X183" s="116">
        <f>R183</f>
        <v>15</v>
      </c>
      <c r="Y183" s="116">
        <f>S183</f>
        <v>31</v>
      </c>
      <c r="Z183" s="116">
        <f>T183</f>
        <v>46</v>
      </c>
      <c r="AA183" s="116">
        <f>U183</f>
        <v>54</v>
      </c>
      <c r="AB183" s="117">
        <f>V183</f>
        <v>65</v>
      </c>
      <c r="AC183"/>
      <c r="AD183" t="s">
        <v>352</v>
      </c>
      <c r="AF183" s="428"/>
      <c r="AH183" s="126" t="s">
        <v>435</v>
      </c>
      <c r="AK183" s="126" t="s">
        <v>433</v>
      </c>
      <c r="AM183" s="124" t="s">
        <v>437</v>
      </c>
    </row>
    <row r="184" spans="1:39" s="84" customFormat="1" ht="15.75" thickBot="1" x14ac:dyDescent="0.3">
      <c r="A184" s="428"/>
      <c r="B184" s="428"/>
      <c r="C184" s="84" t="s">
        <v>345</v>
      </c>
      <c r="D184" s="428"/>
      <c r="F184" s="428"/>
      <c r="J184" s="85">
        <v>0.5</v>
      </c>
      <c r="K184" s="85">
        <f>I159</f>
        <v>1.1988087880923093E-2</v>
      </c>
      <c r="L184" s="114"/>
      <c r="N184" s="428"/>
      <c r="O184" s="428"/>
      <c r="Q184" s="118">
        <f>Y174</f>
        <v>15</v>
      </c>
      <c r="R184" s="119">
        <f>Y175</f>
        <v>31</v>
      </c>
      <c r="S184" s="119">
        <f>Y176</f>
        <v>46</v>
      </c>
      <c r="T184" s="119">
        <f>Y177</f>
        <v>54</v>
      </c>
      <c r="U184" s="119">
        <f>Y178</f>
        <v>65</v>
      </c>
      <c r="V184" s="120"/>
      <c r="W184" s="118">
        <f>Q184</f>
        <v>15</v>
      </c>
      <c r="X184" s="119">
        <f>R184</f>
        <v>31</v>
      </c>
      <c r="Y184" s="119">
        <f>S184</f>
        <v>46</v>
      </c>
      <c r="Z184" s="119">
        <f>T184</f>
        <v>54</v>
      </c>
      <c r="AA184" s="119">
        <f>U184</f>
        <v>65</v>
      </c>
      <c r="AB184" s="120"/>
      <c r="AC184" s="121" t="s">
        <v>353</v>
      </c>
      <c r="AD184" t="s">
        <v>354</v>
      </c>
      <c r="AF184" s="428"/>
      <c r="AH184" s="126" t="s">
        <v>436</v>
      </c>
      <c r="AI184" s="126" t="s">
        <v>345</v>
      </c>
      <c r="AJ184" s="126" t="s">
        <v>353</v>
      </c>
      <c r="AK184" s="126" t="s">
        <v>434</v>
      </c>
      <c r="AM184" s="124" t="s">
        <v>438</v>
      </c>
    </row>
    <row r="185" spans="1:39" s="84" customFormat="1" ht="15" x14ac:dyDescent="0.25">
      <c r="A185" s="85">
        <f>IF(F185&gt;0,1,0)</f>
        <v>0</v>
      </c>
      <c r="B185" s="85">
        <f t="shared" ref="B185:B216" si="1">IF(D185&gt;0,1,"")</f>
        <v>1</v>
      </c>
      <c r="C185" s="84">
        <f t="shared" ref="C185:C216" si="2">RANK(D185,$D$185:$D$244,1)</f>
        <v>46</v>
      </c>
      <c r="D185" s="84">
        <f>J17</f>
        <v>55</v>
      </c>
      <c r="F185" s="84">
        <f t="shared" ref="F185:F216" si="3">IF(ISERROR(VLOOKUP(ROW(F185)-ROW($F$184),$C$185:$D$244,2,FALSE)),F184,VLOOKUP(ROW(F185)-ROW($F$184),$C$185:$D$244,2,FALSE))</f>
        <v>0</v>
      </c>
      <c r="J185" s="113">
        <f t="shared" ref="J185:J216" si="4">F185^$J$184</f>
        <v>0</v>
      </c>
      <c r="K185" s="113">
        <f t="shared" ref="K185:K216" si="5">F185^$K$184</f>
        <v>0</v>
      </c>
      <c r="L185" s="113">
        <f t="shared" ref="L185:L216" si="6">AK185</f>
        <v>0</v>
      </c>
      <c r="N185" s="113">
        <f>J185</f>
        <v>0</v>
      </c>
      <c r="O185" s="113">
        <f>K185</f>
        <v>0</v>
      </c>
      <c r="Q185" s="121">
        <f t="shared" ref="Q185:Q216" si="7">IF(F185&lt;$Q$184,1,0)</f>
        <v>1</v>
      </c>
      <c r="R185" s="121">
        <f>IF(AND($F185&gt;=$R$183,$F185&lt;$R$184),1,0)</f>
        <v>0</v>
      </c>
      <c r="S185" s="121">
        <f t="shared" ref="S185:S216" si="8">IF(AND($F185&gt;=$S$183,$F185&lt;$S$184),1,0)</f>
        <v>0</v>
      </c>
      <c r="T185" s="121">
        <f t="shared" ref="T185:T216" si="9">IF(AND($F185&gt;=$T$183,$F185&lt;$T$184),1,0)</f>
        <v>0</v>
      </c>
      <c r="U185" s="121">
        <f t="shared" ref="U185:U216" si="10">IF(AND($F185&gt;=$U$183,$F185&lt;$U$184),1,0)</f>
        <v>0</v>
      </c>
      <c r="V185" s="121">
        <f t="shared" ref="V185:V216" si="11">IF(F185&gt;=$V$183,1,0)</f>
        <v>0</v>
      </c>
      <c r="W185" s="121">
        <f t="shared" ref="W185:W216" si="12">IF(Q185=1,$R$174,0)</f>
        <v>3.8062499999999999</v>
      </c>
      <c r="X185" s="121">
        <f t="shared" ref="X185:X216" si="13">IF(R185=1,$R$174+$T$174*($F185-$R$183),0)</f>
        <v>0</v>
      </c>
      <c r="Y185" s="121">
        <f t="shared" ref="Y185:Y216" si="14">IF(S185=1,$R$175+$T$175*($F185-$S$183),0)</f>
        <v>0</v>
      </c>
      <c r="Z185" s="121">
        <f t="shared" ref="Z185:Z216" si="15">IF(T185=1,$R$176+$T$176*($F185-$T$183),0)</f>
        <v>0</v>
      </c>
      <c r="AA185" s="121">
        <f t="shared" ref="AA185:AA216" si="16">IF(U185=1,$R$177+$T$177*($F185-$U$183),0)</f>
        <v>0</v>
      </c>
      <c r="AB185" s="121">
        <f t="shared" ref="AB185:AB216" si="17">IF(V185=1,$R$178,0)</f>
        <v>0</v>
      </c>
      <c r="AC185" s="121">
        <f t="shared" ref="AC185:AC216" si="18">IF(F185&gt;0,MAX(W185:AB185),0)</f>
        <v>0</v>
      </c>
      <c r="AD185" s="121">
        <f t="shared" ref="AD185:AD216" si="19">IF(AC185&gt;0,1,0)</f>
        <v>0</v>
      </c>
      <c r="AF185" s="84">
        <f>AC185</f>
        <v>0</v>
      </c>
      <c r="AH185" s="84">
        <f>IF(AJ185&gt;0,1,0)</f>
        <v>0</v>
      </c>
      <c r="AI185" s="126">
        <f t="shared" ref="AI185:AI216" si="20">RANK(AJ185,$AJ$185:$AJ$244,1)</f>
        <v>1</v>
      </c>
      <c r="AJ185" s="126">
        <f t="shared" ref="AJ185:AJ216" si="21">AC185</f>
        <v>0</v>
      </c>
      <c r="AK185" s="84">
        <f t="shared" ref="AK185:AK216" si="22">IF(ISERROR(VLOOKUP(ROW(AK185)-ROW($AK$184),$AI$185:$AJ$244,2,FALSE)),AK184,VLOOKUP(ROW(AK185)-ROW($AK$184),$AI$185:$AJ$244,2,FALSE))</f>
        <v>0</v>
      </c>
      <c r="AM185" s="84">
        <f>AK185</f>
        <v>0</v>
      </c>
    </row>
    <row r="186" spans="1:39" s="84" customFormat="1" ht="15" x14ac:dyDescent="0.25">
      <c r="A186" s="85">
        <f t="shared" ref="A186:A217" si="23">IF(F186&gt;0,A185+1,0)</f>
        <v>0</v>
      </c>
      <c r="B186" s="85" t="str">
        <f t="shared" si="1"/>
        <v/>
      </c>
      <c r="C186" s="84">
        <f t="shared" si="2"/>
        <v>1</v>
      </c>
      <c r="D186" s="84">
        <f>J18</f>
        <v>0</v>
      </c>
      <c r="F186" s="180">
        <f t="shared" si="3"/>
        <v>0</v>
      </c>
      <c r="J186" s="113">
        <f t="shared" si="4"/>
        <v>0</v>
      </c>
      <c r="K186" s="113">
        <f t="shared" si="5"/>
        <v>0</v>
      </c>
      <c r="L186" s="113">
        <f t="shared" si="6"/>
        <v>0</v>
      </c>
      <c r="N186" s="113">
        <f t="shared" ref="N186:N217" si="24">N185+J186</f>
        <v>0</v>
      </c>
      <c r="O186" s="113">
        <f t="shared" ref="O186:O217" si="25">O185+K186</f>
        <v>0</v>
      </c>
      <c r="Q186" s="121">
        <f t="shared" si="7"/>
        <v>1</v>
      </c>
      <c r="R186" s="121">
        <f t="shared" ref="R186:R217" si="26">IF(AND(F186&gt;=$R$183,F186&lt;$R$184),1,0)</f>
        <v>0</v>
      </c>
      <c r="S186" s="121">
        <f t="shared" si="8"/>
        <v>0</v>
      </c>
      <c r="T186" s="121">
        <f t="shared" si="9"/>
        <v>0</v>
      </c>
      <c r="U186" s="121">
        <f t="shared" si="10"/>
        <v>0</v>
      </c>
      <c r="V186" s="121">
        <f t="shared" si="11"/>
        <v>0</v>
      </c>
      <c r="W186" s="121">
        <f t="shared" si="12"/>
        <v>3.8062499999999999</v>
      </c>
      <c r="X186" s="121">
        <f t="shared" si="13"/>
        <v>0</v>
      </c>
      <c r="Y186" s="121">
        <f t="shared" si="14"/>
        <v>0</v>
      </c>
      <c r="Z186" s="121">
        <f t="shared" si="15"/>
        <v>0</v>
      </c>
      <c r="AA186" s="121">
        <f t="shared" si="16"/>
        <v>0</v>
      </c>
      <c r="AB186" s="121">
        <f t="shared" si="17"/>
        <v>0</v>
      </c>
      <c r="AC186" s="121">
        <f t="shared" si="18"/>
        <v>0</v>
      </c>
      <c r="AD186" s="121">
        <f t="shared" si="19"/>
        <v>0</v>
      </c>
      <c r="AF186" s="84">
        <f t="shared" ref="AF186:AF217" si="27">AF185+AC186</f>
        <v>0</v>
      </c>
      <c r="AH186" s="124">
        <f t="shared" ref="AH186:AH217" si="28">IF(AJ186&gt;0,AH185+1,0)</f>
        <v>0</v>
      </c>
      <c r="AI186" s="126">
        <f t="shared" si="20"/>
        <v>1</v>
      </c>
      <c r="AJ186" s="126">
        <f t="shared" si="21"/>
        <v>0</v>
      </c>
      <c r="AK186" s="180">
        <f t="shared" si="22"/>
        <v>0</v>
      </c>
      <c r="AM186" s="84">
        <f t="shared" ref="AM186:AM217" si="29">AM185+AK186</f>
        <v>0</v>
      </c>
    </row>
    <row r="187" spans="1:39" s="84" customFormat="1" ht="15" x14ac:dyDescent="0.25">
      <c r="A187" s="85">
        <f t="shared" si="23"/>
        <v>0</v>
      </c>
      <c r="B187" s="85" t="str">
        <f t="shared" si="1"/>
        <v/>
      </c>
      <c r="C187" s="84">
        <f t="shared" si="2"/>
        <v>1</v>
      </c>
      <c r="D187" s="84">
        <f>J19</f>
        <v>0</v>
      </c>
      <c r="F187" s="180">
        <f t="shared" si="3"/>
        <v>0</v>
      </c>
      <c r="G187" s="180"/>
      <c r="J187" s="113">
        <f t="shared" si="4"/>
        <v>0</v>
      </c>
      <c r="K187" s="113">
        <f t="shared" si="5"/>
        <v>0</v>
      </c>
      <c r="L187" s="113">
        <f t="shared" si="6"/>
        <v>0</v>
      </c>
      <c r="N187" s="113">
        <f t="shared" si="24"/>
        <v>0</v>
      </c>
      <c r="O187" s="113">
        <f t="shared" si="25"/>
        <v>0</v>
      </c>
      <c r="Q187" s="121">
        <f t="shared" si="7"/>
        <v>1</v>
      </c>
      <c r="R187" s="121">
        <f t="shared" si="26"/>
        <v>0</v>
      </c>
      <c r="S187" s="121">
        <f t="shared" si="8"/>
        <v>0</v>
      </c>
      <c r="T187" s="121">
        <f t="shared" si="9"/>
        <v>0</v>
      </c>
      <c r="U187" s="121">
        <f t="shared" si="10"/>
        <v>0</v>
      </c>
      <c r="V187" s="121">
        <f t="shared" si="11"/>
        <v>0</v>
      </c>
      <c r="W187" s="121">
        <f t="shared" si="12"/>
        <v>3.8062499999999999</v>
      </c>
      <c r="X187" s="121">
        <f t="shared" si="13"/>
        <v>0</v>
      </c>
      <c r="Y187" s="121">
        <f t="shared" si="14"/>
        <v>0</v>
      </c>
      <c r="Z187" s="121">
        <f t="shared" si="15"/>
        <v>0</v>
      </c>
      <c r="AA187" s="121">
        <f t="shared" si="16"/>
        <v>0</v>
      </c>
      <c r="AB187" s="121">
        <f t="shared" si="17"/>
        <v>0</v>
      </c>
      <c r="AC187" s="121">
        <f t="shared" si="18"/>
        <v>0</v>
      </c>
      <c r="AD187" s="121">
        <f t="shared" si="19"/>
        <v>0</v>
      </c>
      <c r="AF187" s="84">
        <f t="shared" si="27"/>
        <v>0</v>
      </c>
      <c r="AH187" s="124">
        <f t="shared" si="28"/>
        <v>0</v>
      </c>
      <c r="AI187" s="126">
        <f t="shared" si="20"/>
        <v>1</v>
      </c>
      <c r="AJ187" s="126">
        <f t="shared" si="21"/>
        <v>0</v>
      </c>
      <c r="AK187" s="180">
        <f t="shared" si="22"/>
        <v>0</v>
      </c>
      <c r="AM187" s="124">
        <f t="shared" si="29"/>
        <v>0</v>
      </c>
    </row>
    <row r="188" spans="1:39" s="84" customFormat="1" ht="15" x14ac:dyDescent="0.25">
      <c r="A188" s="85">
        <f t="shared" si="23"/>
        <v>0</v>
      </c>
      <c r="B188" s="85">
        <f t="shared" si="1"/>
        <v>1</v>
      </c>
      <c r="C188" s="84">
        <f t="shared" si="2"/>
        <v>44</v>
      </c>
      <c r="D188" s="84">
        <f>J20</f>
        <v>54</v>
      </c>
      <c r="F188" s="180">
        <f t="shared" si="3"/>
        <v>0</v>
      </c>
      <c r="G188" s="180"/>
      <c r="J188" s="113">
        <f t="shared" si="4"/>
        <v>0</v>
      </c>
      <c r="K188" s="113">
        <f t="shared" si="5"/>
        <v>0</v>
      </c>
      <c r="L188" s="113">
        <f t="shared" si="6"/>
        <v>0</v>
      </c>
      <c r="N188" s="113">
        <f t="shared" si="24"/>
        <v>0</v>
      </c>
      <c r="O188" s="113">
        <f t="shared" si="25"/>
        <v>0</v>
      </c>
      <c r="Q188" s="121">
        <f t="shared" si="7"/>
        <v>1</v>
      </c>
      <c r="R188" s="121">
        <f t="shared" si="26"/>
        <v>0</v>
      </c>
      <c r="S188" s="121">
        <f t="shared" si="8"/>
        <v>0</v>
      </c>
      <c r="T188" s="121">
        <f t="shared" si="9"/>
        <v>0</v>
      </c>
      <c r="U188" s="121">
        <f t="shared" si="10"/>
        <v>0</v>
      </c>
      <c r="V188" s="121">
        <f t="shared" si="11"/>
        <v>0</v>
      </c>
      <c r="W188" s="121">
        <f t="shared" si="12"/>
        <v>3.8062499999999999</v>
      </c>
      <c r="X188" s="121">
        <f t="shared" si="13"/>
        <v>0</v>
      </c>
      <c r="Y188" s="121">
        <f t="shared" si="14"/>
        <v>0</v>
      </c>
      <c r="Z188" s="121">
        <f t="shared" si="15"/>
        <v>0</v>
      </c>
      <c r="AA188" s="121">
        <f t="shared" si="16"/>
        <v>0</v>
      </c>
      <c r="AB188" s="121">
        <f t="shared" si="17"/>
        <v>0</v>
      </c>
      <c r="AC188" s="121">
        <f t="shared" si="18"/>
        <v>0</v>
      </c>
      <c r="AD188" s="121">
        <f t="shared" si="19"/>
        <v>0</v>
      </c>
      <c r="AF188" s="84">
        <f t="shared" si="27"/>
        <v>0</v>
      </c>
      <c r="AH188" s="124">
        <f t="shared" si="28"/>
        <v>0</v>
      </c>
      <c r="AI188" s="126">
        <f t="shared" si="20"/>
        <v>1</v>
      </c>
      <c r="AJ188" s="126">
        <f t="shared" si="21"/>
        <v>0</v>
      </c>
      <c r="AK188" s="180">
        <f t="shared" si="22"/>
        <v>0</v>
      </c>
      <c r="AM188" s="124">
        <f t="shared" si="29"/>
        <v>0</v>
      </c>
    </row>
    <row r="189" spans="1:39" s="84" customFormat="1" ht="15" x14ac:dyDescent="0.25">
      <c r="A189" s="85">
        <f t="shared" si="23"/>
        <v>0</v>
      </c>
      <c r="B189" s="85">
        <f t="shared" si="1"/>
        <v>1</v>
      </c>
      <c r="C189" s="84">
        <f t="shared" si="2"/>
        <v>52</v>
      </c>
      <c r="D189" s="84">
        <f>J21</f>
        <v>62</v>
      </c>
      <c r="F189" s="180">
        <f t="shared" si="3"/>
        <v>0</v>
      </c>
      <c r="G189" s="180"/>
      <c r="J189" s="113">
        <f t="shared" si="4"/>
        <v>0</v>
      </c>
      <c r="K189" s="113">
        <f t="shared" si="5"/>
        <v>0</v>
      </c>
      <c r="L189" s="113">
        <f t="shared" si="6"/>
        <v>0</v>
      </c>
      <c r="N189" s="113">
        <f t="shared" si="24"/>
        <v>0</v>
      </c>
      <c r="O189" s="113">
        <f t="shared" si="25"/>
        <v>0</v>
      </c>
      <c r="Q189" s="121">
        <f t="shared" si="7"/>
        <v>1</v>
      </c>
      <c r="R189" s="121">
        <f t="shared" si="26"/>
        <v>0</v>
      </c>
      <c r="S189" s="121">
        <f t="shared" si="8"/>
        <v>0</v>
      </c>
      <c r="T189" s="121">
        <f t="shared" si="9"/>
        <v>0</v>
      </c>
      <c r="U189" s="121">
        <f t="shared" si="10"/>
        <v>0</v>
      </c>
      <c r="V189" s="121">
        <f t="shared" si="11"/>
        <v>0</v>
      </c>
      <c r="W189" s="121">
        <f t="shared" si="12"/>
        <v>3.8062499999999999</v>
      </c>
      <c r="X189" s="121">
        <f t="shared" si="13"/>
        <v>0</v>
      </c>
      <c r="Y189" s="121">
        <f t="shared" si="14"/>
        <v>0</v>
      </c>
      <c r="Z189" s="121">
        <f t="shared" si="15"/>
        <v>0</v>
      </c>
      <c r="AA189" s="121">
        <f t="shared" si="16"/>
        <v>0</v>
      </c>
      <c r="AB189" s="121">
        <f t="shared" si="17"/>
        <v>0</v>
      </c>
      <c r="AC189" s="121">
        <f t="shared" si="18"/>
        <v>0</v>
      </c>
      <c r="AD189" s="121">
        <f t="shared" si="19"/>
        <v>0</v>
      </c>
      <c r="AF189" s="84">
        <f t="shared" si="27"/>
        <v>0</v>
      </c>
      <c r="AH189" s="124">
        <f t="shared" si="28"/>
        <v>0</v>
      </c>
      <c r="AI189" s="126">
        <f t="shared" si="20"/>
        <v>1</v>
      </c>
      <c r="AJ189" s="126">
        <f t="shared" si="21"/>
        <v>0</v>
      </c>
      <c r="AK189" s="180">
        <f t="shared" si="22"/>
        <v>0</v>
      </c>
      <c r="AM189" s="124">
        <f t="shared" si="29"/>
        <v>0</v>
      </c>
    </row>
    <row r="190" spans="1:39" s="84" customFormat="1" ht="15" x14ac:dyDescent="0.25">
      <c r="A190" s="85">
        <f t="shared" si="23"/>
        <v>0</v>
      </c>
      <c r="B190" s="85">
        <f t="shared" si="1"/>
        <v>1</v>
      </c>
      <c r="C190" s="84">
        <f t="shared" si="2"/>
        <v>30</v>
      </c>
      <c r="D190" s="84">
        <f>K17</f>
        <v>36</v>
      </c>
      <c r="F190" s="180">
        <f t="shared" si="3"/>
        <v>0</v>
      </c>
      <c r="G190" s="180"/>
      <c r="J190" s="113">
        <f t="shared" si="4"/>
        <v>0</v>
      </c>
      <c r="K190" s="113">
        <f t="shared" si="5"/>
        <v>0</v>
      </c>
      <c r="L190" s="113">
        <f t="shared" si="6"/>
        <v>0</v>
      </c>
      <c r="N190" s="113">
        <f t="shared" si="24"/>
        <v>0</v>
      </c>
      <c r="O190" s="113">
        <f t="shared" si="25"/>
        <v>0</v>
      </c>
      <c r="Q190" s="121">
        <f t="shared" si="7"/>
        <v>1</v>
      </c>
      <c r="R190" s="121">
        <f t="shared" si="26"/>
        <v>0</v>
      </c>
      <c r="S190" s="121">
        <f t="shared" si="8"/>
        <v>0</v>
      </c>
      <c r="T190" s="121">
        <f t="shared" si="9"/>
        <v>0</v>
      </c>
      <c r="U190" s="121">
        <f t="shared" si="10"/>
        <v>0</v>
      </c>
      <c r="V190" s="121">
        <f t="shared" si="11"/>
        <v>0</v>
      </c>
      <c r="W190" s="121">
        <f t="shared" si="12"/>
        <v>3.8062499999999999</v>
      </c>
      <c r="X190" s="121">
        <f t="shared" si="13"/>
        <v>0</v>
      </c>
      <c r="Y190" s="121">
        <f t="shared" si="14"/>
        <v>0</v>
      </c>
      <c r="Z190" s="121">
        <f t="shared" si="15"/>
        <v>0</v>
      </c>
      <c r="AA190" s="121">
        <f t="shared" si="16"/>
        <v>0</v>
      </c>
      <c r="AB190" s="121">
        <f t="shared" si="17"/>
        <v>0</v>
      </c>
      <c r="AC190" s="121">
        <f t="shared" si="18"/>
        <v>0</v>
      </c>
      <c r="AD190" s="121">
        <f t="shared" si="19"/>
        <v>0</v>
      </c>
      <c r="AF190" s="84">
        <f t="shared" si="27"/>
        <v>0</v>
      </c>
      <c r="AH190" s="124">
        <f t="shared" si="28"/>
        <v>0</v>
      </c>
      <c r="AI190" s="126">
        <f t="shared" si="20"/>
        <v>1</v>
      </c>
      <c r="AJ190" s="126">
        <f t="shared" si="21"/>
        <v>0</v>
      </c>
      <c r="AK190" s="180">
        <f t="shared" si="22"/>
        <v>0</v>
      </c>
      <c r="AM190" s="124">
        <f t="shared" si="29"/>
        <v>0</v>
      </c>
    </row>
    <row r="191" spans="1:39" s="84" customFormat="1" ht="15" x14ac:dyDescent="0.25">
      <c r="A191" s="85">
        <f t="shared" si="23"/>
        <v>0</v>
      </c>
      <c r="B191" s="85" t="str">
        <f t="shared" si="1"/>
        <v/>
      </c>
      <c r="C191" s="84">
        <f t="shared" si="2"/>
        <v>1</v>
      </c>
      <c r="D191" s="84">
        <f>K18</f>
        <v>0</v>
      </c>
      <c r="F191" s="180">
        <f t="shared" si="3"/>
        <v>0</v>
      </c>
      <c r="G191" s="180"/>
      <c r="J191" s="113">
        <f t="shared" si="4"/>
        <v>0</v>
      </c>
      <c r="K191" s="113">
        <f t="shared" si="5"/>
        <v>0</v>
      </c>
      <c r="L191" s="113">
        <f t="shared" si="6"/>
        <v>0</v>
      </c>
      <c r="N191" s="113">
        <f t="shared" si="24"/>
        <v>0</v>
      </c>
      <c r="O191" s="113">
        <f t="shared" si="25"/>
        <v>0</v>
      </c>
      <c r="Q191" s="121">
        <f t="shared" si="7"/>
        <v>1</v>
      </c>
      <c r="R191" s="121">
        <f t="shared" si="26"/>
        <v>0</v>
      </c>
      <c r="S191" s="121">
        <f t="shared" si="8"/>
        <v>0</v>
      </c>
      <c r="T191" s="121">
        <f t="shared" si="9"/>
        <v>0</v>
      </c>
      <c r="U191" s="121">
        <f t="shared" si="10"/>
        <v>0</v>
      </c>
      <c r="V191" s="121">
        <f t="shared" si="11"/>
        <v>0</v>
      </c>
      <c r="W191" s="121">
        <f t="shared" si="12"/>
        <v>3.8062499999999999</v>
      </c>
      <c r="X191" s="121">
        <f t="shared" si="13"/>
        <v>0</v>
      </c>
      <c r="Y191" s="121">
        <f t="shared" si="14"/>
        <v>0</v>
      </c>
      <c r="Z191" s="121">
        <f t="shared" si="15"/>
        <v>0</v>
      </c>
      <c r="AA191" s="121">
        <f t="shared" si="16"/>
        <v>0</v>
      </c>
      <c r="AB191" s="121">
        <f t="shared" si="17"/>
        <v>0</v>
      </c>
      <c r="AC191" s="121">
        <f t="shared" si="18"/>
        <v>0</v>
      </c>
      <c r="AD191" s="121">
        <f t="shared" si="19"/>
        <v>0</v>
      </c>
      <c r="AF191" s="84">
        <f t="shared" si="27"/>
        <v>0</v>
      </c>
      <c r="AH191" s="124">
        <f t="shared" si="28"/>
        <v>0</v>
      </c>
      <c r="AI191" s="126">
        <f t="shared" si="20"/>
        <v>1</v>
      </c>
      <c r="AJ191" s="126">
        <f t="shared" si="21"/>
        <v>0</v>
      </c>
      <c r="AK191" s="180">
        <f t="shared" si="22"/>
        <v>0</v>
      </c>
      <c r="AM191" s="124">
        <f t="shared" si="29"/>
        <v>0</v>
      </c>
    </row>
    <row r="192" spans="1:39" s="84" customFormat="1" ht="15" x14ac:dyDescent="0.25">
      <c r="A192" s="85">
        <f t="shared" si="23"/>
        <v>0</v>
      </c>
      <c r="B192" s="85" t="str">
        <f t="shared" si="1"/>
        <v/>
      </c>
      <c r="C192" s="84">
        <f t="shared" si="2"/>
        <v>1</v>
      </c>
      <c r="D192" s="84">
        <f>K19</f>
        <v>0</v>
      </c>
      <c r="F192" s="180">
        <f t="shared" si="3"/>
        <v>0</v>
      </c>
      <c r="G192" s="180"/>
      <c r="J192" s="113">
        <f t="shared" si="4"/>
        <v>0</v>
      </c>
      <c r="K192" s="113">
        <f t="shared" si="5"/>
        <v>0</v>
      </c>
      <c r="L192" s="113">
        <f t="shared" si="6"/>
        <v>0</v>
      </c>
      <c r="N192" s="113">
        <f t="shared" si="24"/>
        <v>0</v>
      </c>
      <c r="O192" s="113">
        <f t="shared" si="25"/>
        <v>0</v>
      </c>
      <c r="Q192" s="121">
        <f t="shared" si="7"/>
        <v>1</v>
      </c>
      <c r="R192" s="121">
        <f t="shared" si="26"/>
        <v>0</v>
      </c>
      <c r="S192" s="121">
        <f t="shared" si="8"/>
        <v>0</v>
      </c>
      <c r="T192" s="121">
        <f t="shared" si="9"/>
        <v>0</v>
      </c>
      <c r="U192" s="121">
        <f t="shared" si="10"/>
        <v>0</v>
      </c>
      <c r="V192" s="121">
        <f t="shared" si="11"/>
        <v>0</v>
      </c>
      <c r="W192" s="121">
        <f t="shared" si="12"/>
        <v>3.8062499999999999</v>
      </c>
      <c r="X192" s="121">
        <f t="shared" si="13"/>
        <v>0</v>
      </c>
      <c r="Y192" s="121">
        <f t="shared" si="14"/>
        <v>0</v>
      </c>
      <c r="Z192" s="121">
        <f t="shared" si="15"/>
        <v>0</v>
      </c>
      <c r="AA192" s="121">
        <f t="shared" si="16"/>
        <v>0</v>
      </c>
      <c r="AB192" s="121">
        <f t="shared" si="17"/>
        <v>0</v>
      </c>
      <c r="AC192" s="121">
        <f t="shared" si="18"/>
        <v>0</v>
      </c>
      <c r="AD192" s="121">
        <f t="shared" si="19"/>
        <v>0</v>
      </c>
      <c r="AF192" s="84">
        <f t="shared" si="27"/>
        <v>0</v>
      </c>
      <c r="AH192" s="124">
        <f t="shared" si="28"/>
        <v>0</v>
      </c>
      <c r="AI192" s="126">
        <f t="shared" si="20"/>
        <v>1</v>
      </c>
      <c r="AJ192" s="126">
        <f t="shared" si="21"/>
        <v>0</v>
      </c>
      <c r="AK192" s="180">
        <f t="shared" si="22"/>
        <v>0</v>
      </c>
      <c r="AM192" s="124">
        <f t="shared" si="29"/>
        <v>0</v>
      </c>
    </row>
    <row r="193" spans="1:39" s="84" customFormat="1" ht="15" x14ac:dyDescent="0.25">
      <c r="A193" s="85">
        <f t="shared" si="23"/>
        <v>0</v>
      </c>
      <c r="B193" s="85">
        <f t="shared" si="1"/>
        <v>1</v>
      </c>
      <c r="C193" s="84">
        <f t="shared" si="2"/>
        <v>32</v>
      </c>
      <c r="D193" s="84">
        <f>K20</f>
        <v>38</v>
      </c>
      <c r="F193" s="180">
        <f t="shared" si="3"/>
        <v>0</v>
      </c>
      <c r="G193" s="180"/>
      <c r="J193" s="113">
        <f t="shared" si="4"/>
        <v>0</v>
      </c>
      <c r="K193" s="113">
        <f t="shared" si="5"/>
        <v>0</v>
      </c>
      <c r="L193" s="113">
        <f t="shared" si="6"/>
        <v>0</v>
      </c>
      <c r="N193" s="113">
        <f t="shared" si="24"/>
        <v>0</v>
      </c>
      <c r="O193" s="113">
        <f t="shared" si="25"/>
        <v>0</v>
      </c>
      <c r="Q193" s="121">
        <f t="shared" si="7"/>
        <v>1</v>
      </c>
      <c r="R193" s="121">
        <f t="shared" si="26"/>
        <v>0</v>
      </c>
      <c r="S193" s="121">
        <f t="shared" si="8"/>
        <v>0</v>
      </c>
      <c r="T193" s="121">
        <f t="shared" si="9"/>
        <v>0</v>
      </c>
      <c r="U193" s="121">
        <f t="shared" si="10"/>
        <v>0</v>
      </c>
      <c r="V193" s="121">
        <f t="shared" si="11"/>
        <v>0</v>
      </c>
      <c r="W193" s="121">
        <f t="shared" si="12"/>
        <v>3.8062499999999999</v>
      </c>
      <c r="X193" s="121">
        <f t="shared" si="13"/>
        <v>0</v>
      </c>
      <c r="Y193" s="121">
        <f t="shared" si="14"/>
        <v>0</v>
      </c>
      <c r="Z193" s="121">
        <f t="shared" si="15"/>
        <v>0</v>
      </c>
      <c r="AA193" s="121">
        <f t="shared" si="16"/>
        <v>0</v>
      </c>
      <c r="AB193" s="121">
        <f t="shared" si="17"/>
        <v>0</v>
      </c>
      <c r="AC193" s="121">
        <f t="shared" si="18"/>
        <v>0</v>
      </c>
      <c r="AD193" s="121">
        <f t="shared" si="19"/>
        <v>0</v>
      </c>
      <c r="AF193" s="84">
        <f t="shared" si="27"/>
        <v>0</v>
      </c>
      <c r="AH193" s="124">
        <f t="shared" si="28"/>
        <v>0</v>
      </c>
      <c r="AI193" s="126">
        <f t="shared" si="20"/>
        <v>1</v>
      </c>
      <c r="AJ193" s="126">
        <f t="shared" si="21"/>
        <v>0</v>
      </c>
      <c r="AK193" s="180">
        <f t="shared" si="22"/>
        <v>0</v>
      </c>
      <c r="AM193" s="124">
        <f t="shared" si="29"/>
        <v>0</v>
      </c>
    </row>
    <row r="194" spans="1:39" s="84" customFormat="1" ht="15" x14ac:dyDescent="0.25">
      <c r="A194" s="85">
        <f t="shared" si="23"/>
        <v>0</v>
      </c>
      <c r="B194" s="85">
        <f t="shared" si="1"/>
        <v>1</v>
      </c>
      <c r="C194" s="84">
        <f t="shared" si="2"/>
        <v>33</v>
      </c>
      <c r="D194" s="84">
        <f>K21</f>
        <v>42</v>
      </c>
      <c r="F194" s="180">
        <f t="shared" si="3"/>
        <v>0</v>
      </c>
      <c r="G194" s="180"/>
      <c r="J194" s="113">
        <f t="shared" si="4"/>
        <v>0</v>
      </c>
      <c r="K194" s="113">
        <f t="shared" si="5"/>
        <v>0</v>
      </c>
      <c r="L194" s="113">
        <f t="shared" si="6"/>
        <v>0</v>
      </c>
      <c r="N194" s="113">
        <f t="shared" si="24"/>
        <v>0</v>
      </c>
      <c r="O194" s="113">
        <f t="shared" si="25"/>
        <v>0</v>
      </c>
      <c r="Q194" s="121">
        <f t="shared" si="7"/>
        <v>1</v>
      </c>
      <c r="R194" s="121">
        <f t="shared" si="26"/>
        <v>0</v>
      </c>
      <c r="S194" s="121">
        <f t="shared" si="8"/>
        <v>0</v>
      </c>
      <c r="T194" s="121">
        <f t="shared" si="9"/>
        <v>0</v>
      </c>
      <c r="U194" s="121">
        <f t="shared" si="10"/>
        <v>0</v>
      </c>
      <c r="V194" s="121">
        <f t="shared" si="11"/>
        <v>0</v>
      </c>
      <c r="W194" s="121">
        <f t="shared" si="12"/>
        <v>3.8062499999999999</v>
      </c>
      <c r="X194" s="121">
        <f t="shared" si="13"/>
        <v>0</v>
      </c>
      <c r="Y194" s="121">
        <f t="shared" si="14"/>
        <v>0</v>
      </c>
      <c r="Z194" s="121">
        <f t="shared" si="15"/>
        <v>0</v>
      </c>
      <c r="AA194" s="121">
        <f t="shared" si="16"/>
        <v>0</v>
      </c>
      <c r="AB194" s="121">
        <f t="shared" si="17"/>
        <v>0</v>
      </c>
      <c r="AC194" s="121">
        <f t="shared" si="18"/>
        <v>0</v>
      </c>
      <c r="AD194" s="121">
        <f t="shared" si="19"/>
        <v>0</v>
      </c>
      <c r="AF194" s="84">
        <f t="shared" si="27"/>
        <v>0</v>
      </c>
      <c r="AH194" s="124">
        <f t="shared" si="28"/>
        <v>0</v>
      </c>
      <c r="AI194" s="126">
        <f t="shared" si="20"/>
        <v>1</v>
      </c>
      <c r="AJ194" s="126">
        <f t="shared" si="21"/>
        <v>0</v>
      </c>
      <c r="AK194" s="180">
        <f t="shared" si="22"/>
        <v>0</v>
      </c>
      <c r="AM194" s="124">
        <f t="shared" si="29"/>
        <v>0</v>
      </c>
    </row>
    <row r="195" spans="1:39" s="84" customFormat="1" ht="15" x14ac:dyDescent="0.25">
      <c r="A195" s="85">
        <f t="shared" si="23"/>
        <v>0</v>
      </c>
      <c r="B195" s="85">
        <f t="shared" si="1"/>
        <v>1</v>
      </c>
      <c r="C195" s="84">
        <f t="shared" si="2"/>
        <v>57</v>
      </c>
      <c r="D195" s="84">
        <f>L17</f>
        <v>66</v>
      </c>
      <c r="F195" s="180">
        <f t="shared" si="3"/>
        <v>0</v>
      </c>
      <c r="G195" s="180"/>
      <c r="J195" s="113">
        <f t="shared" si="4"/>
        <v>0</v>
      </c>
      <c r="K195" s="113">
        <f t="shared" si="5"/>
        <v>0</v>
      </c>
      <c r="L195" s="113">
        <f t="shared" si="6"/>
        <v>0</v>
      </c>
      <c r="N195" s="113">
        <f t="shared" si="24"/>
        <v>0</v>
      </c>
      <c r="O195" s="113">
        <f t="shared" si="25"/>
        <v>0</v>
      </c>
      <c r="Q195" s="121">
        <f t="shared" si="7"/>
        <v>1</v>
      </c>
      <c r="R195" s="121">
        <f t="shared" si="26"/>
        <v>0</v>
      </c>
      <c r="S195" s="121">
        <f t="shared" si="8"/>
        <v>0</v>
      </c>
      <c r="T195" s="121">
        <f t="shared" si="9"/>
        <v>0</v>
      </c>
      <c r="U195" s="121">
        <f t="shared" si="10"/>
        <v>0</v>
      </c>
      <c r="V195" s="121">
        <f t="shared" si="11"/>
        <v>0</v>
      </c>
      <c r="W195" s="121">
        <f t="shared" si="12"/>
        <v>3.8062499999999999</v>
      </c>
      <c r="X195" s="121">
        <f t="shared" si="13"/>
        <v>0</v>
      </c>
      <c r="Y195" s="121">
        <f t="shared" si="14"/>
        <v>0</v>
      </c>
      <c r="Z195" s="121">
        <f t="shared" si="15"/>
        <v>0</v>
      </c>
      <c r="AA195" s="121">
        <f t="shared" si="16"/>
        <v>0</v>
      </c>
      <c r="AB195" s="121">
        <f t="shared" si="17"/>
        <v>0</v>
      </c>
      <c r="AC195" s="121">
        <f t="shared" si="18"/>
        <v>0</v>
      </c>
      <c r="AD195" s="121">
        <f t="shared" si="19"/>
        <v>0</v>
      </c>
      <c r="AF195" s="84">
        <f t="shared" si="27"/>
        <v>0</v>
      </c>
      <c r="AH195" s="124">
        <f t="shared" si="28"/>
        <v>0</v>
      </c>
      <c r="AI195" s="126">
        <f t="shared" si="20"/>
        <v>1</v>
      </c>
      <c r="AJ195" s="126">
        <f t="shared" si="21"/>
        <v>0</v>
      </c>
      <c r="AK195" s="180">
        <f t="shared" si="22"/>
        <v>0</v>
      </c>
      <c r="AM195" s="124">
        <f t="shared" si="29"/>
        <v>0</v>
      </c>
    </row>
    <row r="196" spans="1:39" s="84" customFormat="1" ht="15" x14ac:dyDescent="0.25">
      <c r="A196" s="85">
        <f t="shared" si="23"/>
        <v>0</v>
      </c>
      <c r="B196" s="85" t="str">
        <f t="shared" si="1"/>
        <v/>
      </c>
      <c r="C196" s="84">
        <f t="shared" si="2"/>
        <v>1</v>
      </c>
      <c r="D196" s="84">
        <f>L18</f>
        <v>0</v>
      </c>
      <c r="F196" s="180">
        <f t="shared" si="3"/>
        <v>0</v>
      </c>
      <c r="G196" s="180"/>
      <c r="J196" s="113">
        <f t="shared" si="4"/>
        <v>0</v>
      </c>
      <c r="K196" s="113">
        <f t="shared" si="5"/>
        <v>0</v>
      </c>
      <c r="L196" s="113">
        <f t="shared" si="6"/>
        <v>0</v>
      </c>
      <c r="N196" s="113">
        <f t="shared" si="24"/>
        <v>0</v>
      </c>
      <c r="O196" s="113">
        <f t="shared" si="25"/>
        <v>0</v>
      </c>
      <c r="Q196" s="121">
        <f t="shared" si="7"/>
        <v>1</v>
      </c>
      <c r="R196" s="121">
        <f t="shared" si="26"/>
        <v>0</v>
      </c>
      <c r="S196" s="121">
        <f t="shared" si="8"/>
        <v>0</v>
      </c>
      <c r="T196" s="121">
        <f t="shared" si="9"/>
        <v>0</v>
      </c>
      <c r="U196" s="121">
        <f t="shared" si="10"/>
        <v>0</v>
      </c>
      <c r="V196" s="121">
        <f t="shared" si="11"/>
        <v>0</v>
      </c>
      <c r="W196" s="121">
        <f t="shared" si="12"/>
        <v>3.8062499999999999</v>
      </c>
      <c r="X196" s="121">
        <f t="shared" si="13"/>
        <v>0</v>
      </c>
      <c r="Y196" s="121">
        <f t="shared" si="14"/>
        <v>0</v>
      </c>
      <c r="Z196" s="121">
        <f t="shared" si="15"/>
        <v>0</v>
      </c>
      <c r="AA196" s="121">
        <f t="shared" si="16"/>
        <v>0</v>
      </c>
      <c r="AB196" s="121">
        <f t="shared" si="17"/>
        <v>0</v>
      </c>
      <c r="AC196" s="121">
        <f t="shared" si="18"/>
        <v>0</v>
      </c>
      <c r="AD196" s="121">
        <f t="shared" si="19"/>
        <v>0</v>
      </c>
      <c r="AF196" s="84">
        <f t="shared" si="27"/>
        <v>0</v>
      </c>
      <c r="AH196" s="124">
        <f t="shared" si="28"/>
        <v>0</v>
      </c>
      <c r="AI196" s="126">
        <f t="shared" si="20"/>
        <v>1</v>
      </c>
      <c r="AJ196" s="126">
        <f t="shared" si="21"/>
        <v>0</v>
      </c>
      <c r="AK196" s="180">
        <f t="shared" si="22"/>
        <v>0</v>
      </c>
      <c r="AM196" s="124">
        <f t="shared" si="29"/>
        <v>0</v>
      </c>
    </row>
    <row r="197" spans="1:39" s="84" customFormat="1" ht="15" x14ac:dyDescent="0.25">
      <c r="A197" s="85">
        <f t="shared" si="23"/>
        <v>0</v>
      </c>
      <c r="B197" s="85" t="str">
        <f t="shared" si="1"/>
        <v/>
      </c>
      <c r="C197" s="84">
        <f t="shared" si="2"/>
        <v>1</v>
      </c>
      <c r="D197" s="84">
        <f>L19</f>
        <v>0</v>
      </c>
      <c r="F197" s="180">
        <f t="shared" si="3"/>
        <v>0</v>
      </c>
      <c r="G197" s="180"/>
      <c r="J197" s="113">
        <f t="shared" si="4"/>
        <v>0</v>
      </c>
      <c r="K197" s="113">
        <f t="shared" si="5"/>
        <v>0</v>
      </c>
      <c r="L197" s="113">
        <f t="shared" si="6"/>
        <v>0</v>
      </c>
      <c r="N197" s="113">
        <f t="shared" si="24"/>
        <v>0</v>
      </c>
      <c r="O197" s="113">
        <f t="shared" si="25"/>
        <v>0</v>
      </c>
      <c r="Q197" s="121">
        <f t="shared" si="7"/>
        <v>1</v>
      </c>
      <c r="R197" s="121">
        <f t="shared" si="26"/>
        <v>0</v>
      </c>
      <c r="S197" s="121">
        <f t="shared" si="8"/>
        <v>0</v>
      </c>
      <c r="T197" s="121">
        <f t="shared" si="9"/>
        <v>0</v>
      </c>
      <c r="U197" s="121">
        <f t="shared" si="10"/>
        <v>0</v>
      </c>
      <c r="V197" s="121">
        <f t="shared" si="11"/>
        <v>0</v>
      </c>
      <c r="W197" s="121">
        <f t="shared" si="12"/>
        <v>3.8062499999999999</v>
      </c>
      <c r="X197" s="121">
        <f t="shared" si="13"/>
        <v>0</v>
      </c>
      <c r="Y197" s="121">
        <f t="shared" si="14"/>
        <v>0</v>
      </c>
      <c r="Z197" s="121">
        <f t="shared" si="15"/>
        <v>0</v>
      </c>
      <c r="AA197" s="121">
        <f t="shared" si="16"/>
        <v>0</v>
      </c>
      <c r="AB197" s="121">
        <f t="shared" si="17"/>
        <v>0</v>
      </c>
      <c r="AC197" s="121">
        <f t="shared" si="18"/>
        <v>0</v>
      </c>
      <c r="AD197" s="121">
        <f t="shared" si="19"/>
        <v>0</v>
      </c>
      <c r="AF197" s="84">
        <f t="shared" si="27"/>
        <v>0</v>
      </c>
      <c r="AH197" s="124">
        <f t="shared" si="28"/>
        <v>0</v>
      </c>
      <c r="AI197" s="126">
        <f t="shared" si="20"/>
        <v>1</v>
      </c>
      <c r="AJ197" s="126">
        <f t="shared" si="21"/>
        <v>0</v>
      </c>
      <c r="AK197" s="180">
        <f t="shared" si="22"/>
        <v>0</v>
      </c>
      <c r="AM197" s="124">
        <f t="shared" si="29"/>
        <v>0</v>
      </c>
    </row>
    <row r="198" spans="1:39" s="84" customFormat="1" ht="15" x14ac:dyDescent="0.25">
      <c r="A198" s="85">
        <f t="shared" si="23"/>
        <v>0</v>
      </c>
      <c r="B198" s="85">
        <f t="shared" si="1"/>
        <v>1</v>
      </c>
      <c r="C198" s="84">
        <f t="shared" si="2"/>
        <v>50</v>
      </c>
      <c r="D198" s="84">
        <f>L20</f>
        <v>58</v>
      </c>
      <c r="F198" s="180">
        <f t="shared" si="3"/>
        <v>0</v>
      </c>
      <c r="G198" s="180"/>
      <c r="J198" s="113">
        <f t="shared" si="4"/>
        <v>0</v>
      </c>
      <c r="K198" s="113">
        <f t="shared" si="5"/>
        <v>0</v>
      </c>
      <c r="L198" s="113">
        <f t="shared" si="6"/>
        <v>0</v>
      </c>
      <c r="N198" s="113">
        <f t="shared" si="24"/>
        <v>0</v>
      </c>
      <c r="O198" s="113">
        <f t="shared" si="25"/>
        <v>0</v>
      </c>
      <c r="Q198" s="121">
        <f t="shared" si="7"/>
        <v>1</v>
      </c>
      <c r="R198" s="121">
        <f t="shared" si="26"/>
        <v>0</v>
      </c>
      <c r="S198" s="121">
        <f t="shared" si="8"/>
        <v>0</v>
      </c>
      <c r="T198" s="121">
        <f t="shared" si="9"/>
        <v>0</v>
      </c>
      <c r="U198" s="121">
        <f t="shared" si="10"/>
        <v>0</v>
      </c>
      <c r="V198" s="121">
        <f t="shared" si="11"/>
        <v>0</v>
      </c>
      <c r="W198" s="121">
        <f t="shared" si="12"/>
        <v>3.8062499999999999</v>
      </c>
      <c r="X198" s="121">
        <f t="shared" si="13"/>
        <v>0</v>
      </c>
      <c r="Y198" s="121">
        <f t="shared" si="14"/>
        <v>0</v>
      </c>
      <c r="Z198" s="121">
        <f t="shared" si="15"/>
        <v>0</v>
      </c>
      <c r="AA198" s="121">
        <f t="shared" si="16"/>
        <v>0</v>
      </c>
      <c r="AB198" s="121">
        <f t="shared" si="17"/>
        <v>0</v>
      </c>
      <c r="AC198" s="121">
        <f t="shared" si="18"/>
        <v>0</v>
      </c>
      <c r="AD198" s="121">
        <f t="shared" si="19"/>
        <v>0</v>
      </c>
      <c r="AF198" s="84">
        <f t="shared" si="27"/>
        <v>0</v>
      </c>
      <c r="AH198" s="124">
        <f t="shared" si="28"/>
        <v>0</v>
      </c>
      <c r="AI198" s="126">
        <f t="shared" si="20"/>
        <v>1</v>
      </c>
      <c r="AJ198" s="126">
        <f t="shared" si="21"/>
        <v>0</v>
      </c>
      <c r="AK198" s="180">
        <f t="shared" si="22"/>
        <v>0</v>
      </c>
      <c r="AM198" s="124">
        <f t="shared" si="29"/>
        <v>0</v>
      </c>
    </row>
    <row r="199" spans="1:39" s="84" customFormat="1" ht="15" x14ac:dyDescent="0.25">
      <c r="A199" s="85">
        <f t="shared" si="23"/>
        <v>0</v>
      </c>
      <c r="B199" s="85">
        <f t="shared" si="1"/>
        <v>1</v>
      </c>
      <c r="C199" s="84">
        <f t="shared" si="2"/>
        <v>42</v>
      </c>
      <c r="D199" s="84">
        <f>L21</f>
        <v>53</v>
      </c>
      <c r="F199" s="180">
        <f t="shared" si="3"/>
        <v>0</v>
      </c>
      <c r="G199" s="180"/>
      <c r="J199" s="113">
        <f t="shared" si="4"/>
        <v>0</v>
      </c>
      <c r="K199" s="113">
        <f t="shared" si="5"/>
        <v>0</v>
      </c>
      <c r="L199" s="113">
        <f t="shared" si="6"/>
        <v>0</v>
      </c>
      <c r="N199" s="113">
        <f t="shared" si="24"/>
        <v>0</v>
      </c>
      <c r="O199" s="113">
        <f t="shared" si="25"/>
        <v>0</v>
      </c>
      <c r="Q199" s="121">
        <f t="shared" si="7"/>
        <v>1</v>
      </c>
      <c r="R199" s="121">
        <f t="shared" si="26"/>
        <v>0</v>
      </c>
      <c r="S199" s="121">
        <f t="shared" si="8"/>
        <v>0</v>
      </c>
      <c r="T199" s="121">
        <f t="shared" si="9"/>
        <v>0</v>
      </c>
      <c r="U199" s="121">
        <f t="shared" si="10"/>
        <v>0</v>
      </c>
      <c r="V199" s="121">
        <f t="shared" si="11"/>
        <v>0</v>
      </c>
      <c r="W199" s="121">
        <f t="shared" si="12"/>
        <v>3.8062499999999999</v>
      </c>
      <c r="X199" s="121">
        <f t="shared" si="13"/>
        <v>0</v>
      </c>
      <c r="Y199" s="121">
        <f t="shared" si="14"/>
        <v>0</v>
      </c>
      <c r="Z199" s="121">
        <f t="shared" si="15"/>
        <v>0</v>
      </c>
      <c r="AA199" s="121">
        <f t="shared" si="16"/>
        <v>0</v>
      </c>
      <c r="AB199" s="121">
        <f t="shared" si="17"/>
        <v>0</v>
      </c>
      <c r="AC199" s="121">
        <f t="shared" si="18"/>
        <v>0</v>
      </c>
      <c r="AD199" s="121">
        <f t="shared" si="19"/>
        <v>0</v>
      </c>
      <c r="AF199" s="84">
        <f t="shared" si="27"/>
        <v>0</v>
      </c>
      <c r="AH199" s="124">
        <f t="shared" si="28"/>
        <v>0</v>
      </c>
      <c r="AI199" s="126">
        <f t="shared" si="20"/>
        <v>1</v>
      </c>
      <c r="AJ199" s="126">
        <f t="shared" si="21"/>
        <v>0</v>
      </c>
      <c r="AK199" s="180">
        <f t="shared" si="22"/>
        <v>0</v>
      </c>
      <c r="AM199" s="124">
        <f t="shared" si="29"/>
        <v>0</v>
      </c>
    </row>
    <row r="200" spans="1:39" s="84" customFormat="1" ht="15" x14ac:dyDescent="0.25">
      <c r="A200" s="85">
        <f t="shared" si="23"/>
        <v>0</v>
      </c>
      <c r="B200" s="85">
        <f t="shared" si="1"/>
        <v>1</v>
      </c>
      <c r="C200" s="84">
        <f t="shared" si="2"/>
        <v>57</v>
      </c>
      <c r="D200" s="84">
        <f>M17</f>
        <v>66</v>
      </c>
      <c r="F200" s="180">
        <f t="shared" si="3"/>
        <v>0</v>
      </c>
      <c r="G200" s="180"/>
      <c r="J200" s="113">
        <f t="shared" si="4"/>
        <v>0</v>
      </c>
      <c r="K200" s="113">
        <f t="shared" si="5"/>
        <v>0</v>
      </c>
      <c r="L200" s="113">
        <f t="shared" si="6"/>
        <v>0</v>
      </c>
      <c r="N200" s="113">
        <f t="shared" si="24"/>
        <v>0</v>
      </c>
      <c r="O200" s="113">
        <f t="shared" si="25"/>
        <v>0</v>
      </c>
      <c r="Q200" s="121">
        <f t="shared" si="7"/>
        <v>1</v>
      </c>
      <c r="R200" s="121">
        <f t="shared" si="26"/>
        <v>0</v>
      </c>
      <c r="S200" s="121">
        <f t="shared" si="8"/>
        <v>0</v>
      </c>
      <c r="T200" s="121">
        <f t="shared" si="9"/>
        <v>0</v>
      </c>
      <c r="U200" s="121">
        <f t="shared" si="10"/>
        <v>0</v>
      </c>
      <c r="V200" s="121">
        <f t="shared" si="11"/>
        <v>0</v>
      </c>
      <c r="W200" s="121">
        <f t="shared" si="12"/>
        <v>3.8062499999999999</v>
      </c>
      <c r="X200" s="121">
        <f t="shared" si="13"/>
        <v>0</v>
      </c>
      <c r="Y200" s="121">
        <f t="shared" si="14"/>
        <v>0</v>
      </c>
      <c r="Z200" s="121">
        <f t="shared" si="15"/>
        <v>0</v>
      </c>
      <c r="AA200" s="121">
        <f t="shared" si="16"/>
        <v>0</v>
      </c>
      <c r="AB200" s="121">
        <f t="shared" si="17"/>
        <v>0</v>
      </c>
      <c r="AC200" s="121">
        <f t="shared" si="18"/>
        <v>0</v>
      </c>
      <c r="AD200" s="121">
        <f t="shared" si="19"/>
        <v>0</v>
      </c>
      <c r="AF200" s="84">
        <f t="shared" si="27"/>
        <v>0</v>
      </c>
      <c r="AH200" s="124">
        <f t="shared" si="28"/>
        <v>0</v>
      </c>
      <c r="AI200" s="126">
        <f t="shared" si="20"/>
        <v>1</v>
      </c>
      <c r="AJ200" s="126">
        <f t="shared" si="21"/>
        <v>0</v>
      </c>
      <c r="AK200" s="180">
        <f t="shared" si="22"/>
        <v>0</v>
      </c>
      <c r="AM200" s="124">
        <f t="shared" si="29"/>
        <v>0</v>
      </c>
    </row>
    <row r="201" spans="1:39" s="84" customFormat="1" ht="15" x14ac:dyDescent="0.25">
      <c r="A201" s="85">
        <f t="shared" si="23"/>
        <v>0</v>
      </c>
      <c r="B201" s="85" t="str">
        <f t="shared" si="1"/>
        <v/>
      </c>
      <c r="C201" s="84">
        <f t="shared" si="2"/>
        <v>1</v>
      </c>
      <c r="D201" s="84">
        <f>M18</f>
        <v>0</v>
      </c>
      <c r="F201" s="180">
        <f t="shared" si="3"/>
        <v>0</v>
      </c>
      <c r="G201" s="180"/>
      <c r="J201" s="113">
        <f t="shared" si="4"/>
        <v>0</v>
      </c>
      <c r="K201" s="113">
        <f t="shared" si="5"/>
        <v>0</v>
      </c>
      <c r="L201" s="113">
        <f t="shared" si="6"/>
        <v>0</v>
      </c>
      <c r="N201" s="113">
        <f t="shared" si="24"/>
        <v>0</v>
      </c>
      <c r="O201" s="113">
        <f t="shared" si="25"/>
        <v>0</v>
      </c>
      <c r="Q201" s="121">
        <f t="shared" si="7"/>
        <v>1</v>
      </c>
      <c r="R201" s="121">
        <f t="shared" si="26"/>
        <v>0</v>
      </c>
      <c r="S201" s="121">
        <f t="shared" si="8"/>
        <v>0</v>
      </c>
      <c r="T201" s="121">
        <f t="shared" si="9"/>
        <v>0</v>
      </c>
      <c r="U201" s="121">
        <f t="shared" si="10"/>
        <v>0</v>
      </c>
      <c r="V201" s="121">
        <f t="shared" si="11"/>
        <v>0</v>
      </c>
      <c r="W201" s="121">
        <f t="shared" si="12"/>
        <v>3.8062499999999999</v>
      </c>
      <c r="X201" s="121">
        <f t="shared" si="13"/>
        <v>0</v>
      </c>
      <c r="Y201" s="121">
        <f t="shared" si="14"/>
        <v>0</v>
      </c>
      <c r="Z201" s="121">
        <f t="shared" si="15"/>
        <v>0</v>
      </c>
      <c r="AA201" s="121">
        <f t="shared" si="16"/>
        <v>0</v>
      </c>
      <c r="AB201" s="121">
        <f t="shared" si="17"/>
        <v>0</v>
      </c>
      <c r="AC201" s="121">
        <f t="shared" si="18"/>
        <v>0</v>
      </c>
      <c r="AD201" s="121">
        <f t="shared" si="19"/>
        <v>0</v>
      </c>
      <c r="AF201" s="84">
        <f t="shared" si="27"/>
        <v>0</v>
      </c>
      <c r="AH201" s="124">
        <f t="shared" si="28"/>
        <v>0</v>
      </c>
      <c r="AI201" s="126">
        <f t="shared" si="20"/>
        <v>1</v>
      </c>
      <c r="AJ201" s="126">
        <f t="shared" si="21"/>
        <v>0</v>
      </c>
      <c r="AK201" s="180">
        <f t="shared" si="22"/>
        <v>0</v>
      </c>
      <c r="AM201" s="124">
        <f t="shared" si="29"/>
        <v>0</v>
      </c>
    </row>
    <row r="202" spans="1:39" s="84" customFormat="1" ht="15" x14ac:dyDescent="0.25">
      <c r="A202" s="85">
        <f t="shared" si="23"/>
        <v>0</v>
      </c>
      <c r="B202" s="85" t="str">
        <f t="shared" si="1"/>
        <v/>
      </c>
      <c r="C202" s="84">
        <f t="shared" si="2"/>
        <v>1</v>
      </c>
      <c r="D202" s="84">
        <f>M19</f>
        <v>0</v>
      </c>
      <c r="F202" s="180">
        <f t="shared" si="3"/>
        <v>0</v>
      </c>
      <c r="G202" s="180"/>
      <c r="J202" s="113">
        <f t="shared" si="4"/>
        <v>0</v>
      </c>
      <c r="K202" s="113">
        <f t="shared" si="5"/>
        <v>0</v>
      </c>
      <c r="L202" s="113">
        <f t="shared" si="6"/>
        <v>0</v>
      </c>
      <c r="N202" s="113">
        <f t="shared" si="24"/>
        <v>0</v>
      </c>
      <c r="O202" s="113">
        <f t="shared" si="25"/>
        <v>0</v>
      </c>
      <c r="Q202" s="121">
        <f t="shared" si="7"/>
        <v>1</v>
      </c>
      <c r="R202" s="121">
        <f t="shared" si="26"/>
        <v>0</v>
      </c>
      <c r="S202" s="121">
        <f t="shared" si="8"/>
        <v>0</v>
      </c>
      <c r="T202" s="121">
        <f t="shared" si="9"/>
        <v>0</v>
      </c>
      <c r="U202" s="121">
        <f t="shared" si="10"/>
        <v>0</v>
      </c>
      <c r="V202" s="121">
        <f t="shared" si="11"/>
        <v>0</v>
      </c>
      <c r="W202" s="121">
        <f t="shared" si="12"/>
        <v>3.8062499999999999</v>
      </c>
      <c r="X202" s="121">
        <f t="shared" si="13"/>
        <v>0</v>
      </c>
      <c r="Y202" s="121">
        <f t="shared" si="14"/>
        <v>0</v>
      </c>
      <c r="Z202" s="121">
        <f t="shared" si="15"/>
        <v>0</v>
      </c>
      <c r="AA202" s="121">
        <f t="shared" si="16"/>
        <v>0</v>
      </c>
      <c r="AB202" s="121">
        <f t="shared" si="17"/>
        <v>0</v>
      </c>
      <c r="AC202" s="121">
        <f t="shared" si="18"/>
        <v>0</v>
      </c>
      <c r="AD202" s="121">
        <f t="shared" si="19"/>
        <v>0</v>
      </c>
      <c r="AF202" s="84">
        <f t="shared" si="27"/>
        <v>0</v>
      </c>
      <c r="AH202" s="124">
        <f t="shared" si="28"/>
        <v>0</v>
      </c>
      <c r="AI202" s="126">
        <f t="shared" si="20"/>
        <v>1</v>
      </c>
      <c r="AJ202" s="126">
        <f t="shared" si="21"/>
        <v>0</v>
      </c>
      <c r="AK202" s="180">
        <f t="shared" si="22"/>
        <v>0</v>
      </c>
      <c r="AM202" s="124">
        <f t="shared" si="29"/>
        <v>0</v>
      </c>
    </row>
    <row r="203" spans="1:39" s="84" customFormat="1" ht="15" x14ac:dyDescent="0.25">
      <c r="A203" s="85">
        <f t="shared" si="23"/>
        <v>0</v>
      </c>
      <c r="B203" s="85">
        <f t="shared" si="1"/>
        <v>1</v>
      </c>
      <c r="C203" s="84">
        <f t="shared" si="2"/>
        <v>48</v>
      </c>
      <c r="D203" s="84">
        <f>M20</f>
        <v>56</v>
      </c>
      <c r="F203" s="180">
        <f t="shared" si="3"/>
        <v>0</v>
      </c>
      <c r="G203" s="180"/>
      <c r="J203" s="113">
        <f t="shared" si="4"/>
        <v>0</v>
      </c>
      <c r="K203" s="113">
        <f t="shared" si="5"/>
        <v>0</v>
      </c>
      <c r="L203" s="113">
        <f t="shared" si="6"/>
        <v>0</v>
      </c>
      <c r="N203" s="113">
        <f t="shared" si="24"/>
        <v>0</v>
      </c>
      <c r="O203" s="113">
        <f t="shared" si="25"/>
        <v>0</v>
      </c>
      <c r="Q203" s="121">
        <f t="shared" si="7"/>
        <v>1</v>
      </c>
      <c r="R203" s="121">
        <f t="shared" si="26"/>
        <v>0</v>
      </c>
      <c r="S203" s="121">
        <f t="shared" si="8"/>
        <v>0</v>
      </c>
      <c r="T203" s="121">
        <f t="shared" si="9"/>
        <v>0</v>
      </c>
      <c r="U203" s="121">
        <f t="shared" si="10"/>
        <v>0</v>
      </c>
      <c r="V203" s="121">
        <f t="shared" si="11"/>
        <v>0</v>
      </c>
      <c r="W203" s="121">
        <f t="shared" si="12"/>
        <v>3.8062499999999999</v>
      </c>
      <c r="X203" s="121">
        <f t="shared" si="13"/>
        <v>0</v>
      </c>
      <c r="Y203" s="121">
        <f t="shared" si="14"/>
        <v>0</v>
      </c>
      <c r="Z203" s="121">
        <f t="shared" si="15"/>
        <v>0</v>
      </c>
      <c r="AA203" s="121">
        <f t="shared" si="16"/>
        <v>0</v>
      </c>
      <c r="AB203" s="121">
        <f t="shared" si="17"/>
        <v>0</v>
      </c>
      <c r="AC203" s="121">
        <f t="shared" si="18"/>
        <v>0</v>
      </c>
      <c r="AD203" s="121">
        <f t="shared" si="19"/>
        <v>0</v>
      </c>
      <c r="AF203" s="84">
        <f t="shared" si="27"/>
        <v>0</v>
      </c>
      <c r="AH203" s="124">
        <f t="shared" si="28"/>
        <v>0</v>
      </c>
      <c r="AI203" s="126">
        <f t="shared" si="20"/>
        <v>1</v>
      </c>
      <c r="AJ203" s="126">
        <f t="shared" si="21"/>
        <v>0</v>
      </c>
      <c r="AK203" s="180">
        <f t="shared" si="22"/>
        <v>0</v>
      </c>
      <c r="AM203" s="124">
        <f t="shared" si="29"/>
        <v>0</v>
      </c>
    </row>
    <row r="204" spans="1:39" s="84" customFormat="1" ht="15" x14ac:dyDescent="0.25">
      <c r="A204" s="85">
        <f t="shared" si="23"/>
        <v>0</v>
      </c>
      <c r="B204" s="85">
        <f t="shared" si="1"/>
        <v>1</v>
      </c>
      <c r="C204" s="84">
        <f t="shared" si="2"/>
        <v>38</v>
      </c>
      <c r="D204" s="84">
        <f>M21</f>
        <v>49</v>
      </c>
      <c r="F204" s="180">
        <f t="shared" si="3"/>
        <v>0</v>
      </c>
      <c r="G204" s="180"/>
      <c r="J204" s="113">
        <f t="shared" si="4"/>
        <v>0</v>
      </c>
      <c r="K204" s="113">
        <f t="shared" si="5"/>
        <v>0</v>
      </c>
      <c r="L204" s="113">
        <f t="shared" si="6"/>
        <v>0</v>
      </c>
      <c r="N204" s="113">
        <f t="shared" si="24"/>
        <v>0</v>
      </c>
      <c r="O204" s="113">
        <f t="shared" si="25"/>
        <v>0</v>
      </c>
      <c r="Q204" s="121">
        <f t="shared" si="7"/>
        <v>1</v>
      </c>
      <c r="R204" s="121">
        <f t="shared" si="26"/>
        <v>0</v>
      </c>
      <c r="S204" s="121">
        <f t="shared" si="8"/>
        <v>0</v>
      </c>
      <c r="T204" s="121">
        <f t="shared" si="9"/>
        <v>0</v>
      </c>
      <c r="U204" s="121">
        <f t="shared" si="10"/>
        <v>0</v>
      </c>
      <c r="V204" s="121">
        <f t="shared" si="11"/>
        <v>0</v>
      </c>
      <c r="W204" s="121">
        <f t="shared" si="12"/>
        <v>3.8062499999999999</v>
      </c>
      <c r="X204" s="121">
        <f t="shared" si="13"/>
        <v>0</v>
      </c>
      <c r="Y204" s="121">
        <f t="shared" si="14"/>
        <v>0</v>
      </c>
      <c r="Z204" s="121">
        <f t="shared" si="15"/>
        <v>0</v>
      </c>
      <c r="AA204" s="121">
        <f t="shared" si="16"/>
        <v>0</v>
      </c>
      <c r="AB204" s="121">
        <f t="shared" si="17"/>
        <v>0</v>
      </c>
      <c r="AC204" s="121">
        <f t="shared" si="18"/>
        <v>0</v>
      </c>
      <c r="AD204" s="121">
        <f t="shared" si="19"/>
        <v>0</v>
      </c>
      <c r="AF204" s="84">
        <f t="shared" si="27"/>
        <v>0</v>
      </c>
      <c r="AH204" s="124">
        <f t="shared" si="28"/>
        <v>0</v>
      </c>
      <c r="AI204" s="126">
        <f t="shared" si="20"/>
        <v>1</v>
      </c>
      <c r="AJ204" s="126">
        <f t="shared" si="21"/>
        <v>0</v>
      </c>
      <c r="AK204" s="180">
        <f t="shared" si="22"/>
        <v>0</v>
      </c>
      <c r="AM204" s="124">
        <f t="shared" si="29"/>
        <v>0</v>
      </c>
    </row>
    <row r="205" spans="1:39" s="84" customFormat="1" ht="15" x14ac:dyDescent="0.25">
      <c r="A205" s="85">
        <f t="shared" si="23"/>
        <v>0</v>
      </c>
      <c r="B205" s="85">
        <f t="shared" si="1"/>
        <v>1</v>
      </c>
      <c r="C205" s="84">
        <f t="shared" si="2"/>
        <v>35</v>
      </c>
      <c r="D205" s="84">
        <f>N17</f>
        <v>46</v>
      </c>
      <c r="F205" s="180">
        <f t="shared" si="3"/>
        <v>0</v>
      </c>
      <c r="G205" s="180"/>
      <c r="J205" s="113">
        <f t="shared" si="4"/>
        <v>0</v>
      </c>
      <c r="K205" s="113">
        <f t="shared" si="5"/>
        <v>0</v>
      </c>
      <c r="L205" s="113">
        <f t="shared" si="6"/>
        <v>0</v>
      </c>
      <c r="N205" s="113">
        <f t="shared" si="24"/>
        <v>0</v>
      </c>
      <c r="O205" s="113">
        <f t="shared" si="25"/>
        <v>0</v>
      </c>
      <c r="Q205" s="121">
        <f t="shared" si="7"/>
        <v>1</v>
      </c>
      <c r="R205" s="121">
        <f t="shared" si="26"/>
        <v>0</v>
      </c>
      <c r="S205" s="121">
        <f t="shared" si="8"/>
        <v>0</v>
      </c>
      <c r="T205" s="121">
        <f t="shared" si="9"/>
        <v>0</v>
      </c>
      <c r="U205" s="121">
        <f t="shared" si="10"/>
        <v>0</v>
      </c>
      <c r="V205" s="121">
        <f t="shared" si="11"/>
        <v>0</v>
      </c>
      <c r="W205" s="121">
        <f t="shared" si="12"/>
        <v>3.8062499999999999</v>
      </c>
      <c r="X205" s="121">
        <f t="shared" si="13"/>
        <v>0</v>
      </c>
      <c r="Y205" s="121">
        <f t="shared" si="14"/>
        <v>0</v>
      </c>
      <c r="Z205" s="121">
        <f t="shared" si="15"/>
        <v>0</v>
      </c>
      <c r="AA205" s="121">
        <f t="shared" si="16"/>
        <v>0</v>
      </c>
      <c r="AB205" s="121">
        <f t="shared" si="17"/>
        <v>0</v>
      </c>
      <c r="AC205" s="121">
        <f t="shared" si="18"/>
        <v>0</v>
      </c>
      <c r="AD205" s="121">
        <f t="shared" si="19"/>
        <v>0</v>
      </c>
      <c r="AF205" s="84">
        <f t="shared" si="27"/>
        <v>0</v>
      </c>
      <c r="AH205" s="124">
        <f t="shared" si="28"/>
        <v>0</v>
      </c>
      <c r="AI205" s="126">
        <f t="shared" si="20"/>
        <v>1</v>
      </c>
      <c r="AJ205" s="126">
        <f t="shared" si="21"/>
        <v>0</v>
      </c>
      <c r="AK205" s="180">
        <f t="shared" si="22"/>
        <v>0</v>
      </c>
      <c r="AM205" s="124">
        <f t="shared" si="29"/>
        <v>0</v>
      </c>
    </row>
    <row r="206" spans="1:39" s="84" customFormat="1" ht="15" x14ac:dyDescent="0.25">
      <c r="A206" s="85">
        <f t="shared" si="23"/>
        <v>0</v>
      </c>
      <c r="B206" s="85" t="str">
        <f t="shared" si="1"/>
        <v/>
      </c>
      <c r="C206" s="84">
        <f t="shared" si="2"/>
        <v>1</v>
      </c>
      <c r="D206" s="84">
        <f>N18</f>
        <v>0</v>
      </c>
      <c r="F206" s="180">
        <f t="shared" si="3"/>
        <v>0</v>
      </c>
      <c r="G206" s="180"/>
      <c r="J206" s="113">
        <f t="shared" si="4"/>
        <v>0</v>
      </c>
      <c r="K206" s="113">
        <f t="shared" si="5"/>
        <v>0</v>
      </c>
      <c r="L206" s="113">
        <f t="shared" si="6"/>
        <v>0</v>
      </c>
      <c r="N206" s="113">
        <f t="shared" si="24"/>
        <v>0</v>
      </c>
      <c r="O206" s="113">
        <f t="shared" si="25"/>
        <v>0</v>
      </c>
      <c r="Q206" s="121">
        <f t="shared" si="7"/>
        <v>1</v>
      </c>
      <c r="R206" s="121">
        <f t="shared" si="26"/>
        <v>0</v>
      </c>
      <c r="S206" s="121">
        <f t="shared" si="8"/>
        <v>0</v>
      </c>
      <c r="T206" s="121">
        <f t="shared" si="9"/>
        <v>0</v>
      </c>
      <c r="U206" s="121">
        <f t="shared" si="10"/>
        <v>0</v>
      </c>
      <c r="V206" s="121">
        <f t="shared" si="11"/>
        <v>0</v>
      </c>
      <c r="W206" s="121">
        <f t="shared" si="12"/>
        <v>3.8062499999999999</v>
      </c>
      <c r="X206" s="121">
        <f t="shared" si="13"/>
        <v>0</v>
      </c>
      <c r="Y206" s="121">
        <f t="shared" si="14"/>
        <v>0</v>
      </c>
      <c r="Z206" s="121">
        <f t="shared" si="15"/>
        <v>0</v>
      </c>
      <c r="AA206" s="121">
        <f t="shared" si="16"/>
        <v>0</v>
      </c>
      <c r="AB206" s="121">
        <f t="shared" si="17"/>
        <v>0</v>
      </c>
      <c r="AC206" s="121">
        <f t="shared" si="18"/>
        <v>0</v>
      </c>
      <c r="AD206" s="121">
        <f t="shared" si="19"/>
        <v>0</v>
      </c>
      <c r="AF206" s="84">
        <f t="shared" si="27"/>
        <v>0</v>
      </c>
      <c r="AH206" s="124">
        <f t="shared" si="28"/>
        <v>0</v>
      </c>
      <c r="AI206" s="126">
        <f t="shared" si="20"/>
        <v>1</v>
      </c>
      <c r="AJ206" s="126">
        <f t="shared" si="21"/>
        <v>0</v>
      </c>
      <c r="AK206" s="180">
        <f t="shared" si="22"/>
        <v>0</v>
      </c>
      <c r="AM206" s="124">
        <f t="shared" si="29"/>
        <v>0</v>
      </c>
    </row>
    <row r="207" spans="1:39" s="84" customFormat="1" ht="15" x14ac:dyDescent="0.25">
      <c r="A207" s="85">
        <f t="shared" si="23"/>
        <v>0</v>
      </c>
      <c r="B207" s="85" t="str">
        <f t="shared" si="1"/>
        <v/>
      </c>
      <c r="C207" s="84">
        <f t="shared" si="2"/>
        <v>1</v>
      </c>
      <c r="D207" s="84">
        <f>N19</f>
        <v>0</v>
      </c>
      <c r="F207" s="180">
        <f t="shared" si="3"/>
        <v>0</v>
      </c>
      <c r="G207" s="180"/>
      <c r="J207" s="113">
        <f t="shared" si="4"/>
        <v>0</v>
      </c>
      <c r="K207" s="113">
        <f t="shared" si="5"/>
        <v>0</v>
      </c>
      <c r="L207" s="113">
        <f t="shared" si="6"/>
        <v>0</v>
      </c>
      <c r="N207" s="113">
        <f t="shared" si="24"/>
        <v>0</v>
      </c>
      <c r="O207" s="113">
        <f t="shared" si="25"/>
        <v>0</v>
      </c>
      <c r="Q207" s="121">
        <f t="shared" si="7"/>
        <v>1</v>
      </c>
      <c r="R207" s="121">
        <f t="shared" si="26"/>
        <v>0</v>
      </c>
      <c r="S207" s="121">
        <f t="shared" si="8"/>
        <v>0</v>
      </c>
      <c r="T207" s="121">
        <f t="shared" si="9"/>
        <v>0</v>
      </c>
      <c r="U207" s="121">
        <f t="shared" si="10"/>
        <v>0</v>
      </c>
      <c r="V207" s="121">
        <f t="shared" si="11"/>
        <v>0</v>
      </c>
      <c r="W207" s="121">
        <f t="shared" si="12"/>
        <v>3.8062499999999999</v>
      </c>
      <c r="X207" s="121">
        <f t="shared" si="13"/>
        <v>0</v>
      </c>
      <c r="Y207" s="121">
        <f t="shared" si="14"/>
        <v>0</v>
      </c>
      <c r="Z207" s="121">
        <f t="shared" si="15"/>
        <v>0</v>
      </c>
      <c r="AA207" s="121">
        <f t="shared" si="16"/>
        <v>0</v>
      </c>
      <c r="AB207" s="121">
        <f t="shared" si="17"/>
        <v>0</v>
      </c>
      <c r="AC207" s="121">
        <f t="shared" si="18"/>
        <v>0</v>
      </c>
      <c r="AD207" s="121">
        <f t="shared" si="19"/>
        <v>0</v>
      </c>
      <c r="AF207" s="84">
        <f t="shared" si="27"/>
        <v>0</v>
      </c>
      <c r="AH207" s="124">
        <f t="shared" si="28"/>
        <v>0</v>
      </c>
      <c r="AI207" s="126">
        <f t="shared" si="20"/>
        <v>1</v>
      </c>
      <c r="AJ207" s="126">
        <f t="shared" si="21"/>
        <v>0</v>
      </c>
      <c r="AK207" s="180">
        <f t="shared" si="22"/>
        <v>0</v>
      </c>
      <c r="AM207" s="124">
        <f t="shared" si="29"/>
        <v>0</v>
      </c>
    </row>
    <row r="208" spans="1:39" s="84" customFormat="1" ht="15" x14ac:dyDescent="0.25">
      <c r="A208" s="85">
        <f t="shared" si="23"/>
        <v>0</v>
      </c>
      <c r="B208" s="85">
        <f t="shared" si="1"/>
        <v>1</v>
      </c>
      <c r="C208" s="84">
        <f t="shared" si="2"/>
        <v>38</v>
      </c>
      <c r="D208" s="84">
        <f>N20</f>
        <v>49</v>
      </c>
      <c r="F208" s="180">
        <f t="shared" si="3"/>
        <v>0</v>
      </c>
      <c r="G208" s="180"/>
      <c r="J208" s="113">
        <f t="shared" si="4"/>
        <v>0</v>
      </c>
      <c r="K208" s="113">
        <f t="shared" si="5"/>
        <v>0</v>
      </c>
      <c r="L208" s="113">
        <f t="shared" si="6"/>
        <v>0</v>
      </c>
      <c r="N208" s="113">
        <f t="shared" si="24"/>
        <v>0</v>
      </c>
      <c r="O208" s="113">
        <f t="shared" si="25"/>
        <v>0</v>
      </c>
      <c r="Q208" s="121">
        <f t="shared" si="7"/>
        <v>1</v>
      </c>
      <c r="R208" s="121">
        <f t="shared" si="26"/>
        <v>0</v>
      </c>
      <c r="S208" s="121">
        <f t="shared" si="8"/>
        <v>0</v>
      </c>
      <c r="T208" s="121">
        <f t="shared" si="9"/>
        <v>0</v>
      </c>
      <c r="U208" s="121">
        <f t="shared" si="10"/>
        <v>0</v>
      </c>
      <c r="V208" s="121">
        <f t="shared" si="11"/>
        <v>0</v>
      </c>
      <c r="W208" s="121">
        <f t="shared" si="12"/>
        <v>3.8062499999999999</v>
      </c>
      <c r="X208" s="121">
        <f t="shared" si="13"/>
        <v>0</v>
      </c>
      <c r="Y208" s="121">
        <f t="shared" si="14"/>
        <v>0</v>
      </c>
      <c r="Z208" s="121">
        <f t="shared" si="15"/>
        <v>0</v>
      </c>
      <c r="AA208" s="121">
        <f t="shared" si="16"/>
        <v>0</v>
      </c>
      <c r="AB208" s="121">
        <f t="shared" si="17"/>
        <v>0</v>
      </c>
      <c r="AC208" s="121">
        <f t="shared" si="18"/>
        <v>0</v>
      </c>
      <c r="AD208" s="121">
        <f t="shared" si="19"/>
        <v>0</v>
      </c>
      <c r="AF208" s="84">
        <f t="shared" si="27"/>
        <v>0</v>
      </c>
      <c r="AH208" s="124">
        <f t="shared" si="28"/>
        <v>0</v>
      </c>
      <c r="AI208" s="126">
        <f t="shared" si="20"/>
        <v>1</v>
      </c>
      <c r="AJ208" s="126">
        <f t="shared" si="21"/>
        <v>0</v>
      </c>
      <c r="AK208" s="180">
        <f t="shared" si="22"/>
        <v>0</v>
      </c>
      <c r="AM208" s="124">
        <f t="shared" si="29"/>
        <v>0</v>
      </c>
    </row>
    <row r="209" spans="1:39" s="84" customFormat="1" ht="15" x14ac:dyDescent="0.25">
      <c r="A209" s="85">
        <f t="shared" si="23"/>
        <v>1</v>
      </c>
      <c r="B209" s="85">
        <f t="shared" si="1"/>
        <v>1</v>
      </c>
      <c r="C209" s="84">
        <f t="shared" si="2"/>
        <v>42</v>
      </c>
      <c r="D209" s="84">
        <f>N21</f>
        <v>53</v>
      </c>
      <c r="F209" s="180">
        <f t="shared" si="3"/>
        <v>15</v>
      </c>
      <c r="G209" s="180"/>
      <c r="J209" s="113">
        <f t="shared" si="4"/>
        <v>3.872983346207417</v>
      </c>
      <c r="K209" s="113">
        <f t="shared" si="5"/>
        <v>1.0329970597342035</v>
      </c>
      <c r="L209" s="113">
        <f t="shared" si="6"/>
        <v>3.75</v>
      </c>
      <c r="N209" s="113">
        <f t="shared" si="24"/>
        <v>3.872983346207417</v>
      </c>
      <c r="O209" s="113">
        <f t="shared" si="25"/>
        <v>1.0329970597342035</v>
      </c>
      <c r="Q209" s="121">
        <f t="shared" si="7"/>
        <v>0</v>
      </c>
      <c r="R209" s="121">
        <f t="shared" si="26"/>
        <v>1</v>
      </c>
      <c r="S209" s="121">
        <f t="shared" si="8"/>
        <v>0</v>
      </c>
      <c r="T209" s="121">
        <f t="shared" si="9"/>
        <v>0</v>
      </c>
      <c r="U209" s="121">
        <f t="shared" si="10"/>
        <v>0</v>
      </c>
      <c r="V209" s="121">
        <f t="shared" si="11"/>
        <v>0</v>
      </c>
      <c r="W209" s="121">
        <f t="shared" si="12"/>
        <v>0</v>
      </c>
      <c r="X209" s="121">
        <f t="shared" si="13"/>
        <v>3.8062499999999999</v>
      </c>
      <c r="Y209" s="121">
        <f t="shared" si="14"/>
        <v>0</v>
      </c>
      <c r="Z209" s="121">
        <f t="shared" si="15"/>
        <v>0</v>
      </c>
      <c r="AA209" s="121">
        <f t="shared" si="16"/>
        <v>0</v>
      </c>
      <c r="AB209" s="121">
        <f t="shared" si="17"/>
        <v>0</v>
      </c>
      <c r="AC209" s="121">
        <f t="shared" si="18"/>
        <v>3.8062499999999999</v>
      </c>
      <c r="AD209" s="121">
        <f t="shared" si="19"/>
        <v>1</v>
      </c>
      <c r="AF209" s="84">
        <f t="shared" si="27"/>
        <v>3.8062499999999999</v>
      </c>
      <c r="AH209" s="124">
        <f t="shared" si="28"/>
        <v>1</v>
      </c>
      <c r="AI209" s="126">
        <f t="shared" si="20"/>
        <v>32</v>
      </c>
      <c r="AJ209" s="126">
        <f t="shared" si="21"/>
        <v>3.8062499999999999</v>
      </c>
      <c r="AK209" s="180">
        <f t="shared" si="22"/>
        <v>3.75</v>
      </c>
      <c r="AM209" s="124">
        <f t="shared" si="29"/>
        <v>3.75</v>
      </c>
    </row>
    <row r="210" spans="1:39" s="84" customFormat="1" ht="15" x14ac:dyDescent="0.25">
      <c r="A210" s="85">
        <f t="shared" si="23"/>
        <v>2</v>
      </c>
      <c r="B210" s="85">
        <f t="shared" si="1"/>
        <v>1</v>
      </c>
      <c r="C210" s="84">
        <f t="shared" si="2"/>
        <v>27</v>
      </c>
      <c r="D210" s="84">
        <f>O17</f>
        <v>27</v>
      </c>
      <c r="F210" s="180">
        <f t="shared" si="3"/>
        <v>20</v>
      </c>
      <c r="G210" s="180"/>
      <c r="J210" s="113">
        <f t="shared" si="4"/>
        <v>4.4721359549995796</v>
      </c>
      <c r="K210" s="113">
        <f t="shared" si="5"/>
        <v>1.0365657668395118</v>
      </c>
      <c r="L210" s="113">
        <f t="shared" si="6"/>
        <v>3.7605468750000002</v>
      </c>
      <c r="N210" s="113">
        <f t="shared" si="24"/>
        <v>8.3451193012069957</v>
      </c>
      <c r="O210" s="113">
        <f t="shared" si="25"/>
        <v>2.0695628265737156</v>
      </c>
      <c r="Q210" s="121">
        <f t="shared" si="7"/>
        <v>0</v>
      </c>
      <c r="R210" s="121">
        <f t="shared" si="26"/>
        <v>1</v>
      </c>
      <c r="S210" s="121">
        <f t="shared" si="8"/>
        <v>0</v>
      </c>
      <c r="T210" s="121">
        <f t="shared" si="9"/>
        <v>0</v>
      </c>
      <c r="U210" s="121">
        <f t="shared" si="10"/>
        <v>0</v>
      </c>
      <c r="V210" s="121">
        <f t="shared" si="11"/>
        <v>0</v>
      </c>
      <c r="W210" s="121">
        <f t="shared" si="12"/>
        <v>0</v>
      </c>
      <c r="X210" s="121">
        <f t="shared" si="13"/>
        <v>3.7886718749999999</v>
      </c>
      <c r="Y210" s="121">
        <f t="shared" si="14"/>
        <v>0</v>
      </c>
      <c r="Z210" s="121">
        <f t="shared" si="15"/>
        <v>0</v>
      </c>
      <c r="AA210" s="121">
        <f t="shared" si="16"/>
        <v>0</v>
      </c>
      <c r="AB210" s="121">
        <f t="shared" si="17"/>
        <v>0</v>
      </c>
      <c r="AC210" s="121">
        <f t="shared" si="18"/>
        <v>3.7886718749999999</v>
      </c>
      <c r="AD210" s="121">
        <f t="shared" si="19"/>
        <v>1</v>
      </c>
      <c r="AF210" s="84">
        <f t="shared" si="27"/>
        <v>7.5949218749999998</v>
      </c>
      <c r="AH210" s="124">
        <f t="shared" si="28"/>
        <v>2</v>
      </c>
      <c r="AI210" s="126">
        <f t="shared" si="20"/>
        <v>30</v>
      </c>
      <c r="AJ210" s="126">
        <f t="shared" si="21"/>
        <v>3.7886718749999999</v>
      </c>
      <c r="AK210" s="180">
        <f t="shared" si="22"/>
        <v>3.7605468750000002</v>
      </c>
      <c r="AM210" s="124">
        <f t="shared" si="29"/>
        <v>7.5105468750000002</v>
      </c>
    </row>
    <row r="211" spans="1:39" s="84" customFormat="1" ht="15" x14ac:dyDescent="0.25">
      <c r="A211" s="85">
        <f t="shared" si="23"/>
        <v>3</v>
      </c>
      <c r="B211" s="85" t="str">
        <f t="shared" si="1"/>
        <v/>
      </c>
      <c r="C211" s="84">
        <f t="shared" si="2"/>
        <v>1</v>
      </c>
      <c r="D211" s="84">
        <f>O18</f>
        <v>0</v>
      </c>
      <c r="F211" s="180">
        <f t="shared" si="3"/>
        <v>27</v>
      </c>
      <c r="G211" s="180"/>
      <c r="J211" s="113">
        <f t="shared" si="4"/>
        <v>5.196152422706632</v>
      </c>
      <c r="K211" s="113">
        <f t="shared" si="5"/>
        <v>1.040301715348062</v>
      </c>
      <c r="L211" s="113">
        <f t="shared" si="6"/>
        <v>3.7640625000000001</v>
      </c>
      <c r="N211" s="113">
        <f t="shared" si="24"/>
        <v>13.541271723913628</v>
      </c>
      <c r="O211" s="113">
        <f t="shared" si="25"/>
        <v>3.1098645419217776</v>
      </c>
      <c r="Q211" s="121">
        <f t="shared" si="7"/>
        <v>0</v>
      </c>
      <c r="R211" s="121">
        <f t="shared" si="26"/>
        <v>1</v>
      </c>
      <c r="S211" s="121">
        <f t="shared" si="8"/>
        <v>0</v>
      </c>
      <c r="T211" s="121">
        <f t="shared" si="9"/>
        <v>0</v>
      </c>
      <c r="U211" s="121">
        <f t="shared" si="10"/>
        <v>0</v>
      </c>
      <c r="V211" s="121">
        <f t="shared" si="11"/>
        <v>0</v>
      </c>
      <c r="W211" s="121">
        <f t="shared" si="12"/>
        <v>0</v>
      </c>
      <c r="X211" s="121">
        <f t="shared" si="13"/>
        <v>3.7640625000000001</v>
      </c>
      <c r="Y211" s="121">
        <f t="shared" si="14"/>
        <v>0</v>
      </c>
      <c r="Z211" s="121">
        <f t="shared" si="15"/>
        <v>0</v>
      </c>
      <c r="AA211" s="121">
        <f t="shared" si="16"/>
        <v>0</v>
      </c>
      <c r="AB211" s="121">
        <f t="shared" si="17"/>
        <v>0</v>
      </c>
      <c r="AC211" s="121">
        <f t="shared" si="18"/>
        <v>3.7640625000000001</v>
      </c>
      <c r="AD211" s="121">
        <f t="shared" si="19"/>
        <v>1</v>
      </c>
      <c r="AF211" s="84">
        <f t="shared" si="27"/>
        <v>11.358984375</v>
      </c>
      <c r="AH211" s="124">
        <f t="shared" si="28"/>
        <v>3</v>
      </c>
      <c r="AI211" s="126">
        <f t="shared" si="20"/>
        <v>27</v>
      </c>
      <c r="AJ211" s="126">
        <f t="shared" si="21"/>
        <v>3.7640625000000001</v>
      </c>
      <c r="AK211" s="180">
        <f t="shared" si="22"/>
        <v>3.7640625000000001</v>
      </c>
      <c r="AM211" s="124">
        <f t="shared" si="29"/>
        <v>11.274609375000001</v>
      </c>
    </row>
    <row r="212" spans="1:39" s="84" customFormat="1" ht="15" x14ac:dyDescent="0.25">
      <c r="A212" s="85">
        <f t="shared" si="23"/>
        <v>4</v>
      </c>
      <c r="B212" s="85" t="str">
        <f t="shared" si="1"/>
        <v/>
      </c>
      <c r="C212" s="84">
        <f t="shared" si="2"/>
        <v>1</v>
      </c>
      <c r="D212" s="84">
        <f>O19</f>
        <v>0</v>
      </c>
      <c r="F212" s="180">
        <f t="shared" si="3"/>
        <v>28</v>
      </c>
      <c r="G212" s="180"/>
      <c r="J212" s="113">
        <f t="shared" si="4"/>
        <v>5.2915026221291814</v>
      </c>
      <c r="K212" s="113">
        <f t="shared" si="5"/>
        <v>1.0407553634276097</v>
      </c>
      <c r="L212" s="113">
        <f t="shared" si="6"/>
        <v>3.7791666666666668</v>
      </c>
      <c r="N212" s="113">
        <f t="shared" si="24"/>
        <v>18.832774346042811</v>
      </c>
      <c r="O212" s="113">
        <f t="shared" si="25"/>
        <v>4.1506199053493873</v>
      </c>
      <c r="Q212" s="121">
        <f t="shared" si="7"/>
        <v>0</v>
      </c>
      <c r="R212" s="121">
        <f t="shared" si="26"/>
        <v>1</v>
      </c>
      <c r="S212" s="121">
        <f t="shared" si="8"/>
        <v>0</v>
      </c>
      <c r="T212" s="121">
        <f t="shared" si="9"/>
        <v>0</v>
      </c>
      <c r="U212" s="121">
        <f t="shared" si="10"/>
        <v>0</v>
      </c>
      <c r="V212" s="121">
        <f t="shared" si="11"/>
        <v>0</v>
      </c>
      <c r="W212" s="121">
        <f t="shared" si="12"/>
        <v>0</v>
      </c>
      <c r="X212" s="121">
        <f t="shared" si="13"/>
        <v>3.7605468750000002</v>
      </c>
      <c r="Y212" s="121">
        <f t="shared" si="14"/>
        <v>0</v>
      </c>
      <c r="Z212" s="121">
        <f t="shared" si="15"/>
        <v>0</v>
      </c>
      <c r="AA212" s="121">
        <f t="shared" si="16"/>
        <v>0</v>
      </c>
      <c r="AB212" s="121">
        <f t="shared" si="17"/>
        <v>0</v>
      </c>
      <c r="AC212" s="121">
        <f t="shared" si="18"/>
        <v>3.7605468750000002</v>
      </c>
      <c r="AD212" s="121">
        <f t="shared" si="19"/>
        <v>1</v>
      </c>
      <c r="AF212" s="84">
        <f t="shared" si="27"/>
        <v>15.119531250000001</v>
      </c>
      <c r="AH212" s="124">
        <f t="shared" si="28"/>
        <v>4</v>
      </c>
      <c r="AI212" s="126">
        <f t="shared" si="20"/>
        <v>26</v>
      </c>
      <c r="AJ212" s="126">
        <f t="shared" si="21"/>
        <v>3.7605468750000002</v>
      </c>
      <c r="AK212" s="180">
        <f t="shared" si="22"/>
        <v>3.7791666666666668</v>
      </c>
      <c r="AM212" s="124">
        <f t="shared" si="29"/>
        <v>15.053776041666667</v>
      </c>
    </row>
    <row r="213" spans="1:39" s="84" customFormat="1" ht="15" x14ac:dyDescent="0.25">
      <c r="A213" s="85">
        <f t="shared" si="23"/>
        <v>5</v>
      </c>
      <c r="B213" s="85">
        <f t="shared" si="1"/>
        <v>1</v>
      </c>
      <c r="C213" s="84">
        <f t="shared" si="2"/>
        <v>28</v>
      </c>
      <c r="D213" s="84">
        <f>O20</f>
        <v>28</v>
      </c>
      <c r="F213" s="180">
        <f t="shared" si="3"/>
        <v>31</v>
      </c>
      <c r="G213" s="180"/>
      <c r="J213" s="113">
        <f t="shared" si="4"/>
        <v>5.5677643628300215</v>
      </c>
      <c r="K213" s="113">
        <f t="shared" si="5"/>
        <v>1.0420260472601519</v>
      </c>
      <c r="L213" s="113">
        <f t="shared" si="6"/>
        <v>3.7850000000000001</v>
      </c>
      <c r="N213" s="113">
        <f t="shared" si="24"/>
        <v>24.400538708872833</v>
      </c>
      <c r="O213" s="113">
        <f t="shared" si="25"/>
        <v>5.1926459526095394</v>
      </c>
      <c r="Q213" s="121">
        <f t="shared" si="7"/>
        <v>0</v>
      </c>
      <c r="R213" s="121">
        <f t="shared" si="26"/>
        <v>0</v>
      </c>
      <c r="S213" s="121">
        <f t="shared" si="8"/>
        <v>1</v>
      </c>
      <c r="T213" s="121">
        <f t="shared" si="9"/>
        <v>0</v>
      </c>
      <c r="U213" s="121">
        <f t="shared" si="10"/>
        <v>0</v>
      </c>
      <c r="V213" s="121">
        <f t="shared" si="11"/>
        <v>0</v>
      </c>
      <c r="W213" s="121">
        <f t="shared" si="12"/>
        <v>0</v>
      </c>
      <c r="X213" s="121">
        <f t="shared" si="13"/>
        <v>0</v>
      </c>
      <c r="Y213" s="121">
        <f t="shared" si="14"/>
        <v>3.75</v>
      </c>
      <c r="Z213" s="121">
        <f t="shared" si="15"/>
        <v>0</v>
      </c>
      <c r="AA213" s="121">
        <f t="shared" si="16"/>
        <v>0</v>
      </c>
      <c r="AB213" s="121">
        <f t="shared" si="17"/>
        <v>0</v>
      </c>
      <c r="AC213" s="121">
        <f t="shared" si="18"/>
        <v>3.75</v>
      </c>
      <c r="AD213" s="121">
        <f t="shared" si="19"/>
        <v>1</v>
      </c>
      <c r="AF213" s="84">
        <f t="shared" si="27"/>
        <v>18.869531250000001</v>
      </c>
      <c r="AH213" s="124">
        <f t="shared" si="28"/>
        <v>5</v>
      </c>
      <c r="AI213" s="126">
        <f t="shared" si="20"/>
        <v>25</v>
      </c>
      <c r="AJ213" s="126">
        <f t="shared" si="21"/>
        <v>3.75</v>
      </c>
      <c r="AK213" s="180">
        <f t="shared" si="22"/>
        <v>3.7850000000000001</v>
      </c>
      <c r="AM213" s="124">
        <f t="shared" si="29"/>
        <v>18.838776041666669</v>
      </c>
    </row>
    <row r="214" spans="1:39" s="84" customFormat="1" ht="15" x14ac:dyDescent="0.25">
      <c r="A214" s="85">
        <f t="shared" si="23"/>
        <v>6</v>
      </c>
      <c r="B214" s="85">
        <f t="shared" si="1"/>
        <v>1</v>
      </c>
      <c r="C214" s="84">
        <f t="shared" si="2"/>
        <v>25</v>
      </c>
      <c r="D214" s="84">
        <f>O21</f>
        <v>15</v>
      </c>
      <c r="F214" s="180">
        <f t="shared" si="3"/>
        <v>36</v>
      </c>
      <c r="G214" s="180"/>
      <c r="J214" s="113">
        <f t="shared" si="4"/>
        <v>6</v>
      </c>
      <c r="K214" s="113">
        <f t="shared" si="5"/>
        <v>1.0438956579331284</v>
      </c>
      <c r="L214" s="113">
        <f t="shared" si="6"/>
        <v>3.7886718749999999</v>
      </c>
      <c r="N214" s="113">
        <f t="shared" si="24"/>
        <v>30.400538708872833</v>
      </c>
      <c r="O214" s="113">
        <f t="shared" si="25"/>
        <v>6.2365416105426679</v>
      </c>
      <c r="Q214" s="121">
        <f t="shared" si="7"/>
        <v>0</v>
      </c>
      <c r="R214" s="121">
        <f t="shared" si="26"/>
        <v>0</v>
      </c>
      <c r="S214" s="121">
        <f t="shared" si="8"/>
        <v>1</v>
      </c>
      <c r="T214" s="121">
        <f t="shared" si="9"/>
        <v>0</v>
      </c>
      <c r="U214" s="121">
        <f t="shared" si="10"/>
        <v>0</v>
      </c>
      <c r="V214" s="121">
        <f t="shared" si="11"/>
        <v>0</v>
      </c>
      <c r="W214" s="121">
        <f t="shared" si="12"/>
        <v>0</v>
      </c>
      <c r="X214" s="121">
        <f t="shared" si="13"/>
        <v>0</v>
      </c>
      <c r="Y214" s="121">
        <f t="shared" si="14"/>
        <v>3.7791666666666668</v>
      </c>
      <c r="Z214" s="121">
        <f t="shared" si="15"/>
        <v>0</v>
      </c>
      <c r="AA214" s="121">
        <f t="shared" si="16"/>
        <v>0</v>
      </c>
      <c r="AB214" s="121">
        <f t="shared" si="17"/>
        <v>0</v>
      </c>
      <c r="AC214" s="121">
        <f t="shared" si="18"/>
        <v>3.7791666666666668</v>
      </c>
      <c r="AD214" s="121">
        <f t="shared" si="19"/>
        <v>1</v>
      </c>
      <c r="AF214" s="84">
        <f t="shared" si="27"/>
        <v>22.64869791666667</v>
      </c>
      <c r="AH214" s="124">
        <f t="shared" si="28"/>
        <v>6</v>
      </c>
      <c r="AI214" s="126">
        <f t="shared" si="20"/>
        <v>28</v>
      </c>
      <c r="AJ214" s="126">
        <f t="shared" si="21"/>
        <v>3.7791666666666668</v>
      </c>
      <c r="AK214" s="180">
        <f t="shared" si="22"/>
        <v>3.7886718749999999</v>
      </c>
      <c r="AM214" s="124">
        <f t="shared" si="29"/>
        <v>22.627447916666668</v>
      </c>
    </row>
    <row r="215" spans="1:39" s="84" customFormat="1" ht="15" x14ac:dyDescent="0.25">
      <c r="A215" s="85">
        <f t="shared" si="23"/>
        <v>7</v>
      </c>
      <c r="B215" s="85">
        <f t="shared" si="1"/>
        <v>1</v>
      </c>
      <c r="C215" s="84">
        <f t="shared" si="2"/>
        <v>29</v>
      </c>
      <c r="D215" s="84">
        <f>P17</f>
        <v>31</v>
      </c>
      <c r="F215" s="180">
        <f t="shared" si="3"/>
        <v>37</v>
      </c>
      <c r="G215" s="180"/>
      <c r="J215" s="113">
        <f t="shared" si="4"/>
        <v>6.0827625302982193</v>
      </c>
      <c r="K215" s="113">
        <f t="shared" si="5"/>
        <v>1.0442385935863328</v>
      </c>
      <c r="L215" s="113">
        <f t="shared" si="6"/>
        <v>3.7908333333333335</v>
      </c>
      <c r="N215" s="113">
        <f t="shared" si="24"/>
        <v>36.483301239171055</v>
      </c>
      <c r="O215" s="113">
        <f t="shared" si="25"/>
        <v>7.2807802041290008</v>
      </c>
      <c r="Q215" s="121">
        <f t="shared" si="7"/>
        <v>0</v>
      </c>
      <c r="R215" s="121">
        <f t="shared" si="26"/>
        <v>0</v>
      </c>
      <c r="S215" s="121">
        <f t="shared" si="8"/>
        <v>1</v>
      </c>
      <c r="T215" s="121">
        <f t="shared" si="9"/>
        <v>0</v>
      </c>
      <c r="U215" s="121">
        <f t="shared" si="10"/>
        <v>0</v>
      </c>
      <c r="V215" s="121">
        <f t="shared" si="11"/>
        <v>0</v>
      </c>
      <c r="W215" s="121">
        <f t="shared" si="12"/>
        <v>0</v>
      </c>
      <c r="X215" s="121">
        <f t="shared" si="13"/>
        <v>0</v>
      </c>
      <c r="Y215" s="121">
        <f t="shared" si="14"/>
        <v>3.7850000000000001</v>
      </c>
      <c r="Z215" s="121">
        <f t="shared" si="15"/>
        <v>0</v>
      </c>
      <c r="AA215" s="121">
        <f t="shared" si="16"/>
        <v>0</v>
      </c>
      <c r="AB215" s="121">
        <f t="shared" si="17"/>
        <v>0</v>
      </c>
      <c r="AC215" s="121">
        <f t="shared" si="18"/>
        <v>3.7850000000000001</v>
      </c>
      <c r="AD215" s="121">
        <f t="shared" si="19"/>
        <v>1</v>
      </c>
      <c r="AF215" s="84">
        <f t="shared" si="27"/>
        <v>26.43369791666667</v>
      </c>
      <c r="AH215" s="124">
        <f t="shared" si="28"/>
        <v>7</v>
      </c>
      <c r="AI215" s="126">
        <f t="shared" si="20"/>
        <v>29</v>
      </c>
      <c r="AJ215" s="126">
        <f t="shared" si="21"/>
        <v>3.7850000000000001</v>
      </c>
      <c r="AK215" s="180">
        <f t="shared" si="22"/>
        <v>3.7908333333333335</v>
      </c>
      <c r="AM215" s="124">
        <f t="shared" si="29"/>
        <v>26.41828125</v>
      </c>
    </row>
    <row r="216" spans="1:39" s="84" customFormat="1" ht="15" x14ac:dyDescent="0.25">
      <c r="A216" s="85">
        <f t="shared" si="23"/>
        <v>8</v>
      </c>
      <c r="B216" s="85" t="str">
        <f t="shared" si="1"/>
        <v/>
      </c>
      <c r="C216" s="84">
        <f t="shared" si="2"/>
        <v>1</v>
      </c>
      <c r="D216" s="84">
        <f>P18</f>
        <v>0</v>
      </c>
      <c r="F216" s="180">
        <f t="shared" si="3"/>
        <v>38</v>
      </c>
      <c r="G216" s="180"/>
      <c r="J216" s="113">
        <f t="shared" si="4"/>
        <v>6.164414002968976</v>
      </c>
      <c r="K216" s="113">
        <f t="shared" si="5"/>
        <v>1.0445724913823398</v>
      </c>
      <c r="L216" s="113">
        <f t="shared" si="6"/>
        <v>3.8062499999999999</v>
      </c>
      <c r="N216" s="113">
        <f t="shared" si="24"/>
        <v>42.647715242140031</v>
      </c>
      <c r="O216" s="113">
        <f t="shared" si="25"/>
        <v>8.3253526955113415</v>
      </c>
      <c r="Q216" s="121">
        <f t="shared" si="7"/>
        <v>0</v>
      </c>
      <c r="R216" s="121">
        <f t="shared" si="26"/>
        <v>0</v>
      </c>
      <c r="S216" s="121">
        <f t="shared" si="8"/>
        <v>1</v>
      </c>
      <c r="T216" s="121">
        <f t="shared" si="9"/>
        <v>0</v>
      </c>
      <c r="U216" s="121">
        <f t="shared" si="10"/>
        <v>0</v>
      </c>
      <c r="V216" s="121">
        <f t="shared" si="11"/>
        <v>0</v>
      </c>
      <c r="W216" s="121">
        <f t="shared" si="12"/>
        <v>0</v>
      </c>
      <c r="X216" s="121">
        <f t="shared" si="13"/>
        <v>0</v>
      </c>
      <c r="Y216" s="121">
        <f t="shared" si="14"/>
        <v>3.7908333333333335</v>
      </c>
      <c r="Z216" s="121">
        <f t="shared" si="15"/>
        <v>0</v>
      </c>
      <c r="AA216" s="121">
        <f t="shared" si="16"/>
        <v>0</v>
      </c>
      <c r="AB216" s="121">
        <f t="shared" si="17"/>
        <v>0</v>
      </c>
      <c r="AC216" s="121">
        <f t="shared" si="18"/>
        <v>3.7908333333333335</v>
      </c>
      <c r="AD216" s="121">
        <f t="shared" si="19"/>
        <v>1</v>
      </c>
      <c r="AF216" s="84">
        <f t="shared" si="27"/>
        <v>30.224531250000005</v>
      </c>
      <c r="AH216" s="124">
        <f t="shared" si="28"/>
        <v>8</v>
      </c>
      <c r="AI216" s="126">
        <f t="shared" si="20"/>
        <v>31</v>
      </c>
      <c r="AJ216" s="126">
        <f t="shared" si="21"/>
        <v>3.7908333333333335</v>
      </c>
      <c r="AK216" s="180">
        <f t="shared" si="22"/>
        <v>3.8062499999999999</v>
      </c>
      <c r="AM216" s="124">
        <f t="shared" si="29"/>
        <v>30.224531249999998</v>
      </c>
    </row>
    <row r="217" spans="1:39" s="84" customFormat="1" ht="15" x14ac:dyDescent="0.25">
      <c r="A217" s="85">
        <f t="shared" si="23"/>
        <v>9</v>
      </c>
      <c r="B217" s="85" t="str">
        <f t="shared" ref="B217:B244" si="30">IF(D217&gt;0,1,"")</f>
        <v/>
      </c>
      <c r="C217" s="84">
        <f t="shared" ref="C217:C244" si="31">RANK(D217,$D$185:$D$244,1)</f>
        <v>1</v>
      </c>
      <c r="D217" s="84">
        <f>P19</f>
        <v>0</v>
      </c>
      <c r="F217" s="180">
        <f t="shared" ref="F217:F244" si="32">IF(ISERROR(VLOOKUP(ROW(F217)-ROW($F$184),$C$185:$D$244,2,FALSE)),F216,VLOOKUP(ROW(F217)-ROW($F$184),$C$185:$D$244,2,FALSE))</f>
        <v>42</v>
      </c>
      <c r="G217" s="180"/>
      <c r="J217" s="113">
        <f t="shared" ref="J217:J244" si="33">F217^$J$184</f>
        <v>6.4807406984078604</v>
      </c>
      <c r="K217" s="113">
        <f t="shared" ref="K217:K244" si="34">F217^$K$184</f>
        <v>1.0458265313224333</v>
      </c>
      <c r="L217" s="113">
        <f t="shared" ref="L217:L244" si="35">AK217</f>
        <v>3.8141666666666665</v>
      </c>
      <c r="N217" s="113">
        <f t="shared" si="24"/>
        <v>49.128455940547894</v>
      </c>
      <c r="O217" s="113">
        <f t="shared" si="25"/>
        <v>9.3711792268337746</v>
      </c>
      <c r="Q217" s="121">
        <f t="shared" ref="Q217:Q244" si="36">IF(F217&lt;$Q$184,1,0)</f>
        <v>0</v>
      </c>
      <c r="R217" s="121">
        <f t="shared" si="26"/>
        <v>0</v>
      </c>
      <c r="S217" s="121">
        <f t="shared" ref="S217:S244" si="37">IF(AND($F217&gt;=$S$183,$F217&lt;$S$184),1,0)</f>
        <v>1</v>
      </c>
      <c r="T217" s="121">
        <f t="shared" ref="T217:T244" si="38">IF(AND($F217&gt;=$T$183,$F217&lt;$T$184),1,0)</f>
        <v>0</v>
      </c>
      <c r="U217" s="121">
        <f t="shared" ref="U217:U244" si="39">IF(AND($F217&gt;=$U$183,$F217&lt;$U$184),1,0)</f>
        <v>0</v>
      </c>
      <c r="V217" s="121">
        <f t="shared" ref="V217:V244" si="40">IF(F217&gt;=$V$183,1,0)</f>
        <v>0</v>
      </c>
      <c r="W217" s="121">
        <f t="shared" ref="W217:W244" si="41">IF(Q217=1,$R$174,0)</f>
        <v>0</v>
      </c>
      <c r="X217" s="121">
        <f t="shared" ref="X217:X244" si="42">IF(R217=1,$R$174+$T$174*($F217-$R$183),0)</f>
        <v>0</v>
      </c>
      <c r="Y217" s="121">
        <f t="shared" ref="Y217:Y244" si="43">IF(S217=1,$R$175+$T$175*($F217-$S$183),0)</f>
        <v>3.8141666666666665</v>
      </c>
      <c r="Z217" s="121">
        <f t="shared" ref="Z217:Z244" si="44">IF(T217=1,$R$176+$T$176*($F217-$T$183),0)</f>
        <v>0</v>
      </c>
      <c r="AA217" s="121">
        <f t="shared" ref="AA217:AA244" si="45">IF(U217=1,$R$177+$T$177*($F217-$U$183),0)</f>
        <v>0</v>
      </c>
      <c r="AB217" s="121">
        <f t="shared" ref="AB217:AB244" si="46">IF(V217=1,$R$178,0)</f>
        <v>0</v>
      </c>
      <c r="AC217" s="121">
        <f t="shared" ref="AC217:AC244" si="47">IF(F217&gt;0,MAX(W217:AB217),0)</f>
        <v>3.8141666666666665</v>
      </c>
      <c r="AD217" s="121">
        <f t="shared" ref="AD217:AD244" si="48">IF(AC217&gt;0,1,0)</f>
        <v>1</v>
      </c>
      <c r="AF217" s="84">
        <f t="shared" si="27"/>
        <v>34.038697916666671</v>
      </c>
      <c r="AH217" s="124">
        <f t="shared" si="28"/>
        <v>9</v>
      </c>
      <c r="AI217" s="126">
        <f t="shared" ref="AI217:AI244" si="49">RANK(AJ217,$AJ$185:$AJ$244,1)</f>
        <v>33</v>
      </c>
      <c r="AJ217" s="126">
        <f t="shared" ref="AJ217:AJ244" si="50">AC217</f>
        <v>3.8141666666666665</v>
      </c>
      <c r="AK217" s="180">
        <f t="shared" ref="AK217:AK244" si="51">IF(ISERROR(VLOOKUP(ROW(AK217)-ROW($AK$184),$AI$185:$AJ$244,2,FALSE)),AK216,VLOOKUP(ROW(AK217)-ROW($AK$184),$AI$185:$AJ$244,2,FALSE))</f>
        <v>3.8141666666666665</v>
      </c>
      <c r="AM217" s="124">
        <f t="shared" si="29"/>
        <v>34.038697916666663</v>
      </c>
    </row>
    <row r="218" spans="1:39" s="84" customFormat="1" ht="15" x14ac:dyDescent="0.25">
      <c r="A218" s="85">
        <f t="shared" ref="A218:A244" si="52">IF(F218&gt;0,A217+1,0)</f>
        <v>10</v>
      </c>
      <c r="B218" s="85">
        <f t="shared" si="30"/>
        <v>1</v>
      </c>
      <c r="C218" s="84">
        <f t="shared" si="31"/>
        <v>31</v>
      </c>
      <c r="D218" s="84">
        <f>P20</f>
        <v>37</v>
      </c>
      <c r="F218" s="180">
        <f t="shared" si="32"/>
        <v>42</v>
      </c>
      <c r="G218" s="180"/>
      <c r="J218" s="113">
        <f t="shared" si="33"/>
        <v>6.4807406984078604</v>
      </c>
      <c r="K218" s="113">
        <f t="shared" si="34"/>
        <v>1.0458265313224333</v>
      </c>
      <c r="L218" s="113">
        <f t="shared" si="35"/>
        <v>3.8141666666666665</v>
      </c>
      <c r="N218" s="113">
        <f t="shared" ref="N218:N244" si="53">N217+J218</f>
        <v>55.609196638955751</v>
      </c>
      <c r="O218" s="113">
        <f t="shared" ref="O218:O244" si="54">O217+K218</f>
        <v>10.417005758156208</v>
      </c>
      <c r="Q218" s="121">
        <f t="shared" si="36"/>
        <v>0</v>
      </c>
      <c r="R218" s="121">
        <f t="shared" ref="R218:R244" si="55">IF(AND(F218&gt;=$R$183,F218&lt;$R$184),1,0)</f>
        <v>0</v>
      </c>
      <c r="S218" s="121">
        <f t="shared" si="37"/>
        <v>1</v>
      </c>
      <c r="T218" s="121">
        <f t="shared" si="38"/>
        <v>0</v>
      </c>
      <c r="U218" s="121">
        <f t="shared" si="39"/>
        <v>0</v>
      </c>
      <c r="V218" s="121">
        <f t="shared" si="40"/>
        <v>0</v>
      </c>
      <c r="W218" s="121">
        <f t="shared" si="41"/>
        <v>0</v>
      </c>
      <c r="X218" s="121">
        <f t="shared" si="42"/>
        <v>0</v>
      </c>
      <c r="Y218" s="121">
        <f t="shared" si="43"/>
        <v>3.8141666666666665</v>
      </c>
      <c r="Z218" s="121">
        <f t="shared" si="44"/>
        <v>0</v>
      </c>
      <c r="AA218" s="121">
        <f t="shared" si="45"/>
        <v>0</v>
      </c>
      <c r="AB218" s="121">
        <f t="shared" si="46"/>
        <v>0</v>
      </c>
      <c r="AC218" s="121">
        <f t="shared" si="47"/>
        <v>3.8141666666666665</v>
      </c>
      <c r="AD218" s="121">
        <f t="shared" si="48"/>
        <v>1</v>
      </c>
      <c r="AF218" s="84">
        <f t="shared" ref="AF218:AF244" si="56">AF217+AC218</f>
        <v>37.852864583333336</v>
      </c>
      <c r="AH218" s="124">
        <f t="shared" ref="AH218:AH244" si="57">IF(AJ218&gt;0,AH217+1,0)</f>
        <v>10</v>
      </c>
      <c r="AI218" s="126">
        <f t="shared" si="49"/>
        <v>33</v>
      </c>
      <c r="AJ218" s="126">
        <f t="shared" si="50"/>
        <v>3.8141666666666665</v>
      </c>
      <c r="AK218" s="180">
        <f t="shared" si="51"/>
        <v>3.8141666666666665</v>
      </c>
      <c r="AM218" s="124">
        <f t="shared" ref="AM218:AM244" si="58">AM217+AK218</f>
        <v>37.852864583333329</v>
      </c>
    </row>
    <row r="219" spans="1:39" s="84" customFormat="1" ht="15" x14ac:dyDescent="0.25">
      <c r="A219" s="85">
        <f t="shared" si="52"/>
        <v>11</v>
      </c>
      <c r="B219" s="85">
        <f t="shared" si="30"/>
        <v>1</v>
      </c>
      <c r="C219" s="84">
        <f t="shared" si="31"/>
        <v>26</v>
      </c>
      <c r="D219" s="84">
        <f>P21</f>
        <v>20</v>
      </c>
      <c r="F219" s="180">
        <f t="shared" si="32"/>
        <v>46</v>
      </c>
      <c r="G219" s="180"/>
      <c r="J219" s="113">
        <f t="shared" si="33"/>
        <v>6.7823299831252681</v>
      </c>
      <c r="K219" s="113">
        <f t="shared" si="34"/>
        <v>1.0469677085441773</v>
      </c>
      <c r="L219" s="113">
        <f t="shared" si="35"/>
        <v>3.8374999999999999</v>
      </c>
      <c r="N219" s="113">
        <f t="shared" si="53"/>
        <v>62.391526622081017</v>
      </c>
      <c r="O219" s="113">
        <f t="shared" si="54"/>
        <v>11.463973466700384</v>
      </c>
      <c r="Q219" s="121">
        <f t="shared" si="36"/>
        <v>0</v>
      </c>
      <c r="R219" s="121">
        <f t="shared" si="55"/>
        <v>0</v>
      </c>
      <c r="S219" s="121">
        <f t="shared" si="37"/>
        <v>0</v>
      </c>
      <c r="T219" s="121">
        <f t="shared" si="38"/>
        <v>1</v>
      </c>
      <c r="U219" s="121">
        <f t="shared" si="39"/>
        <v>0</v>
      </c>
      <c r="V219" s="121">
        <f t="shared" si="40"/>
        <v>0</v>
      </c>
      <c r="W219" s="121">
        <f t="shared" si="41"/>
        <v>0</v>
      </c>
      <c r="X219" s="121">
        <f t="shared" si="42"/>
        <v>0</v>
      </c>
      <c r="Y219" s="121">
        <f t="shared" si="43"/>
        <v>0</v>
      </c>
      <c r="Z219" s="121">
        <f t="shared" si="44"/>
        <v>3.8374999999999999</v>
      </c>
      <c r="AA219" s="121">
        <f t="shared" si="45"/>
        <v>0</v>
      </c>
      <c r="AB219" s="121">
        <f t="shared" si="46"/>
        <v>0</v>
      </c>
      <c r="AC219" s="121">
        <f t="shared" si="47"/>
        <v>3.8374999999999999</v>
      </c>
      <c r="AD219" s="121">
        <f t="shared" si="48"/>
        <v>1</v>
      </c>
      <c r="AF219" s="84">
        <f t="shared" si="56"/>
        <v>41.690364583333334</v>
      </c>
      <c r="AH219" s="124">
        <f t="shared" si="57"/>
        <v>11</v>
      </c>
      <c r="AI219" s="126">
        <f t="shared" si="49"/>
        <v>35</v>
      </c>
      <c r="AJ219" s="126">
        <f t="shared" si="50"/>
        <v>3.8374999999999999</v>
      </c>
      <c r="AK219" s="180">
        <f t="shared" si="51"/>
        <v>3.8374999999999999</v>
      </c>
      <c r="AM219" s="124">
        <f t="shared" si="58"/>
        <v>41.690364583333327</v>
      </c>
    </row>
    <row r="220" spans="1:39" s="84" customFormat="1" ht="15" x14ac:dyDescent="0.25">
      <c r="A220" s="85">
        <f t="shared" si="52"/>
        <v>12</v>
      </c>
      <c r="B220" s="85">
        <f t="shared" si="30"/>
        <v>1</v>
      </c>
      <c r="C220" s="84">
        <f t="shared" si="31"/>
        <v>46</v>
      </c>
      <c r="D220" s="84">
        <f>Q17</f>
        <v>55</v>
      </c>
      <c r="F220" s="180">
        <f t="shared" si="32"/>
        <v>47</v>
      </c>
      <c r="G220" s="180"/>
      <c r="J220" s="113">
        <f t="shared" si="33"/>
        <v>6.8556546004010439</v>
      </c>
      <c r="K220" s="113">
        <f t="shared" si="34"/>
        <v>1.0472376707551989</v>
      </c>
      <c r="L220" s="113">
        <f t="shared" si="35"/>
        <v>3.8406249999999997</v>
      </c>
      <c r="N220" s="113">
        <f t="shared" si="53"/>
        <v>69.247181222482055</v>
      </c>
      <c r="O220" s="113">
        <f t="shared" si="54"/>
        <v>12.511211137455582</v>
      </c>
      <c r="Q220" s="121">
        <f t="shared" si="36"/>
        <v>0</v>
      </c>
      <c r="R220" s="121">
        <f t="shared" si="55"/>
        <v>0</v>
      </c>
      <c r="S220" s="121">
        <f t="shared" si="37"/>
        <v>0</v>
      </c>
      <c r="T220" s="121">
        <f t="shared" si="38"/>
        <v>1</v>
      </c>
      <c r="U220" s="121">
        <f t="shared" si="39"/>
        <v>0</v>
      </c>
      <c r="V220" s="121">
        <f t="shared" si="40"/>
        <v>0</v>
      </c>
      <c r="W220" s="121">
        <f t="shared" si="41"/>
        <v>0</v>
      </c>
      <c r="X220" s="121">
        <f t="shared" si="42"/>
        <v>0</v>
      </c>
      <c r="Y220" s="121">
        <f t="shared" si="43"/>
        <v>0</v>
      </c>
      <c r="Z220" s="121">
        <f t="shared" si="44"/>
        <v>3.8406249999999997</v>
      </c>
      <c r="AA220" s="121">
        <f t="shared" si="45"/>
        <v>0</v>
      </c>
      <c r="AB220" s="121">
        <f t="shared" si="46"/>
        <v>0</v>
      </c>
      <c r="AC220" s="121">
        <f t="shared" si="47"/>
        <v>3.8406249999999997</v>
      </c>
      <c r="AD220" s="121">
        <f t="shared" si="48"/>
        <v>1</v>
      </c>
      <c r="AF220" s="84">
        <f t="shared" si="56"/>
        <v>45.530989583333337</v>
      </c>
      <c r="AH220" s="124">
        <f t="shared" si="57"/>
        <v>12</v>
      </c>
      <c r="AI220" s="126">
        <f t="shared" si="49"/>
        <v>36</v>
      </c>
      <c r="AJ220" s="126">
        <f t="shared" si="50"/>
        <v>3.8406249999999997</v>
      </c>
      <c r="AK220" s="180">
        <f t="shared" si="51"/>
        <v>3.8406249999999997</v>
      </c>
      <c r="AM220" s="124">
        <f t="shared" si="58"/>
        <v>45.53098958333333</v>
      </c>
    </row>
    <row r="221" spans="1:39" s="84" customFormat="1" ht="15" x14ac:dyDescent="0.25">
      <c r="A221" s="85">
        <f t="shared" si="52"/>
        <v>13</v>
      </c>
      <c r="B221" s="85" t="str">
        <f t="shared" si="30"/>
        <v/>
      </c>
      <c r="C221" s="84">
        <f t="shared" si="31"/>
        <v>1</v>
      </c>
      <c r="D221" s="84">
        <f>Q18</f>
        <v>0</v>
      </c>
      <c r="F221" s="180">
        <f t="shared" si="32"/>
        <v>48</v>
      </c>
      <c r="G221" s="180"/>
      <c r="J221" s="113">
        <f t="shared" si="33"/>
        <v>6.9282032302755088</v>
      </c>
      <c r="K221" s="113">
        <f t="shared" si="34"/>
        <v>1.0475020165539604</v>
      </c>
      <c r="L221" s="113">
        <f t="shared" si="35"/>
        <v>3.84375</v>
      </c>
      <c r="N221" s="113">
        <f t="shared" si="53"/>
        <v>76.175384452757569</v>
      </c>
      <c r="O221" s="113">
        <f t="shared" si="54"/>
        <v>13.558713154009542</v>
      </c>
      <c r="Q221" s="121">
        <f t="shared" si="36"/>
        <v>0</v>
      </c>
      <c r="R221" s="121">
        <f t="shared" si="55"/>
        <v>0</v>
      </c>
      <c r="S221" s="121">
        <f t="shared" si="37"/>
        <v>0</v>
      </c>
      <c r="T221" s="121">
        <f t="shared" si="38"/>
        <v>1</v>
      </c>
      <c r="U221" s="121">
        <f t="shared" si="39"/>
        <v>0</v>
      </c>
      <c r="V221" s="121">
        <f t="shared" si="40"/>
        <v>0</v>
      </c>
      <c r="W221" s="121">
        <f t="shared" si="41"/>
        <v>0</v>
      </c>
      <c r="X221" s="121">
        <f t="shared" si="42"/>
        <v>0</v>
      </c>
      <c r="Y221" s="121">
        <f t="shared" si="43"/>
        <v>0</v>
      </c>
      <c r="Z221" s="121">
        <f t="shared" si="44"/>
        <v>3.84375</v>
      </c>
      <c r="AA221" s="121">
        <f t="shared" si="45"/>
        <v>0</v>
      </c>
      <c r="AB221" s="121">
        <f t="shared" si="46"/>
        <v>0</v>
      </c>
      <c r="AC221" s="121">
        <f t="shared" si="47"/>
        <v>3.84375</v>
      </c>
      <c r="AD221" s="121">
        <f t="shared" si="48"/>
        <v>1</v>
      </c>
      <c r="AF221" s="84">
        <f t="shared" si="56"/>
        <v>49.374739583333337</v>
      </c>
      <c r="AH221" s="124">
        <f t="shared" si="57"/>
        <v>13</v>
      </c>
      <c r="AI221" s="126">
        <f t="shared" si="49"/>
        <v>37</v>
      </c>
      <c r="AJ221" s="126">
        <f t="shared" si="50"/>
        <v>3.84375</v>
      </c>
      <c r="AK221" s="180">
        <f t="shared" si="51"/>
        <v>3.84375</v>
      </c>
      <c r="AM221" s="124">
        <f t="shared" si="58"/>
        <v>49.37473958333333</v>
      </c>
    </row>
    <row r="222" spans="1:39" s="84" customFormat="1" ht="15" x14ac:dyDescent="0.25">
      <c r="A222" s="85">
        <f t="shared" si="52"/>
        <v>14</v>
      </c>
      <c r="B222" s="85" t="str">
        <f t="shared" si="30"/>
        <v/>
      </c>
      <c r="C222" s="84">
        <f t="shared" si="31"/>
        <v>1</v>
      </c>
      <c r="D222" s="84">
        <f>Q19</f>
        <v>0</v>
      </c>
      <c r="F222" s="180">
        <f t="shared" si="32"/>
        <v>49</v>
      </c>
      <c r="G222" s="180"/>
      <c r="J222" s="113">
        <f t="shared" si="33"/>
        <v>7</v>
      </c>
      <c r="K222" s="113">
        <f t="shared" si="34"/>
        <v>1.047760976210496</v>
      </c>
      <c r="L222" s="113">
        <f t="shared" si="35"/>
        <v>3.8468749999999998</v>
      </c>
      <c r="N222" s="113">
        <f t="shared" si="53"/>
        <v>83.175384452757569</v>
      </c>
      <c r="O222" s="113">
        <f t="shared" si="54"/>
        <v>14.606474130220038</v>
      </c>
      <c r="Q222" s="121">
        <f t="shared" si="36"/>
        <v>0</v>
      </c>
      <c r="R222" s="121">
        <f t="shared" si="55"/>
        <v>0</v>
      </c>
      <c r="S222" s="121">
        <f t="shared" si="37"/>
        <v>0</v>
      </c>
      <c r="T222" s="121">
        <f t="shared" si="38"/>
        <v>1</v>
      </c>
      <c r="U222" s="121">
        <f t="shared" si="39"/>
        <v>0</v>
      </c>
      <c r="V222" s="121">
        <f t="shared" si="40"/>
        <v>0</v>
      </c>
      <c r="W222" s="121">
        <f t="shared" si="41"/>
        <v>0</v>
      </c>
      <c r="X222" s="121">
        <f t="shared" si="42"/>
        <v>0</v>
      </c>
      <c r="Y222" s="121">
        <f t="shared" si="43"/>
        <v>0</v>
      </c>
      <c r="Z222" s="121">
        <f t="shared" si="44"/>
        <v>3.8468749999999998</v>
      </c>
      <c r="AA222" s="121">
        <f t="shared" si="45"/>
        <v>0</v>
      </c>
      <c r="AB222" s="121">
        <f t="shared" si="46"/>
        <v>0</v>
      </c>
      <c r="AC222" s="121">
        <f t="shared" si="47"/>
        <v>3.8468749999999998</v>
      </c>
      <c r="AD222" s="121">
        <f t="shared" si="48"/>
        <v>1</v>
      </c>
      <c r="AF222" s="84">
        <f t="shared" si="56"/>
        <v>53.221614583333334</v>
      </c>
      <c r="AH222" s="124">
        <f t="shared" si="57"/>
        <v>14</v>
      </c>
      <c r="AI222" s="126">
        <f t="shared" si="49"/>
        <v>38</v>
      </c>
      <c r="AJ222" s="126">
        <f t="shared" si="50"/>
        <v>3.8468749999999998</v>
      </c>
      <c r="AK222" s="180">
        <f t="shared" si="51"/>
        <v>3.8468749999999998</v>
      </c>
      <c r="AM222" s="124">
        <f t="shared" si="58"/>
        <v>53.221614583333327</v>
      </c>
    </row>
    <row r="223" spans="1:39" s="84" customFormat="1" ht="15" x14ac:dyDescent="0.25">
      <c r="A223" s="85">
        <f t="shared" si="52"/>
        <v>15</v>
      </c>
      <c r="B223" s="85">
        <f t="shared" si="30"/>
        <v>1</v>
      </c>
      <c r="C223" s="84">
        <f t="shared" si="31"/>
        <v>37</v>
      </c>
      <c r="D223" s="84">
        <f>Q20</f>
        <v>48</v>
      </c>
      <c r="F223" s="180">
        <f t="shared" si="32"/>
        <v>49</v>
      </c>
      <c r="G223" s="180"/>
      <c r="J223" s="113">
        <f t="shared" si="33"/>
        <v>7</v>
      </c>
      <c r="K223" s="113">
        <f t="shared" si="34"/>
        <v>1.047760976210496</v>
      </c>
      <c r="L223" s="113">
        <f t="shared" si="35"/>
        <v>3.8468749999999998</v>
      </c>
      <c r="N223" s="113">
        <f t="shared" si="53"/>
        <v>90.175384452757569</v>
      </c>
      <c r="O223" s="113">
        <f t="shared" si="54"/>
        <v>15.654235106430534</v>
      </c>
      <c r="Q223" s="121">
        <f t="shared" si="36"/>
        <v>0</v>
      </c>
      <c r="R223" s="121">
        <f t="shared" si="55"/>
        <v>0</v>
      </c>
      <c r="S223" s="121">
        <f t="shared" si="37"/>
        <v>0</v>
      </c>
      <c r="T223" s="121">
        <f t="shared" si="38"/>
        <v>1</v>
      </c>
      <c r="U223" s="121">
        <f t="shared" si="39"/>
        <v>0</v>
      </c>
      <c r="V223" s="121">
        <f t="shared" si="40"/>
        <v>0</v>
      </c>
      <c r="W223" s="121">
        <f t="shared" si="41"/>
        <v>0</v>
      </c>
      <c r="X223" s="121">
        <f t="shared" si="42"/>
        <v>0</v>
      </c>
      <c r="Y223" s="121">
        <f t="shared" si="43"/>
        <v>0</v>
      </c>
      <c r="Z223" s="121">
        <f t="shared" si="44"/>
        <v>3.8468749999999998</v>
      </c>
      <c r="AA223" s="121">
        <f t="shared" si="45"/>
        <v>0</v>
      </c>
      <c r="AB223" s="121">
        <f t="shared" si="46"/>
        <v>0</v>
      </c>
      <c r="AC223" s="121">
        <f t="shared" si="47"/>
        <v>3.8468749999999998</v>
      </c>
      <c r="AD223" s="121">
        <f t="shared" si="48"/>
        <v>1</v>
      </c>
      <c r="AF223" s="84">
        <f t="shared" si="56"/>
        <v>57.068489583333331</v>
      </c>
      <c r="AH223" s="124">
        <f t="shared" si="57"/>
        <v>15</v>
      </c>
      <c r="AI223" s="126">
        <f t="shared" si="49"/>
        <v>38</v>
      </c>
      <c r="AJ223" s="126">
        <f t="shared" si="50"/>
        <v>3.8468749999999998</v>
      </c>
      <c r="AK223" s="180">
        <f t="shared" si="51"/>
        <v>3.8468749999999998</v>
      </c>
      <c r="AM223" s="124">
        <f t="shared" si="58"/>
        <v>57.068489583333324</v>
      </c>
    </row>
    <row r="224" spans="1:39" s="84" customFormat="1" ht="15" x14ac:dyDescent="0.25">
      <c r="A224" s="85">
        <f t="shared" si="52"/>
        <v>16</v>
      </c>
      <c r="B224" s="85">
        <f t="shared" si="30"/>
        <v>1</v>
      </c>
      <c r="C224" s="84">
        <f t="shared" si="31"/>
        <v>33</v>
      </c>
      <c r="D224" s="84">
        <f>Q21</f>
        <v>42</v>
      </c>
      <c r="F224" s="180">
        <f t="shared" si="32"/>
        <v>50</v>
      </c>
      <c r="G224" s="180"/>
      <c r="J224" s="113">
        <f t="shared" si="33"/>
        <v>7.0710678118654755</v>
      </c>
      <c r="K224" s="113">
        <f t="shared" si="34"/>
        <v>1.0480147660911956</v>
      </c>
      <c r="L224" s="113">
        <f t="shared" si="35"/>
        <v>3.8499999999999996</v>
      </c>
      <c r="N224" s="113">
        <f t="shared" si="53"/>
        <v>97.246452264623045</v>
      </c>
      <c r="O224" s="113">
        <f t="shared" si="54"/>
        <v>16.70224987252173</v>
      </c>
      <c r="Q224" s="121">
        <f t="shared" si="36"/>
        <v>0</v>
      </c>
      <c r="R224" s="121">
        <f t="shared" si="55"/>
        <v>0</v>
      </c>
      <c r="S224" s="121">
        <f t="shared" si="37"/>
        <v>0</v>
      </c>
      <c r="T224" s="121">
        <f t="shared" si="38"/>
        <v>1</v>
      </c>
      <c r="U224" s="121">
        <f t="shared" si="39"/>
        <v>0</v>
      </c>
      <c r="V224" s="121">
        <f t="shared" si="40"/>
        <v>0</v>
      </c>
      <c r="W224" s="121">
        <f t="shared" si="41"/>
        <v>0</v>
      </c>
      <c r="X224" s="121">
        <f t="shared" si="42"/>
        <v>0</v>
      </c>
      <c r="Y224" s="121">
        <f t="shared" si="43"/>
        <v>0</v>
      </c>
      <c r="Z224" s="121">
        <f t="shared" si="44"/>
        <v>3.8499999999999996</v>
      </c>
      <c r="AA224" s="121">
        <f t="shared" si="45"/>
        <v>0</v>
      </c>
      <c r="AB224" s="121">
        <f t="shared" si="46"/>
        <v>0</v>
      </c>
      <c r="AC224" s="121">
        <f t="shared" si="47"/>
        <v>3.8499999999999996</v>
      </c>
      <c r="AD224" s="121">
        <f t="shared" si="48"/>
        <v>1</v>
      </c>
      <c r="AF224" s="84">
        <f t="shared" si="56"/>
        <v>60.918489583333333</v>
      </c>
      <c r="AH224" s="124">
        <f t="shared" si="57"/>
        <v>16</v>
      </c>
      <c r="AI224" s="126">
        <f t="shared" si="49"/>
        <v>40</v>
      </c>
      <c r="AJ224" s="126">
        <f t="shared" si="50"/>
        <v>3.8499999999999996</v>
      </c>
      <c r="AK224" s="180">
        <f t="shared" si="51"/>
        <v>3.8499999999999996</v>
      </c>
      <c r="AM224" s="124">
        <f t="shared" si="58"/>
        <v>60.918489583333326</v>
      </c>
    </row>
    <row r="225" spans="1:39" s="84" customFormat="1" ht="15" x14ac:dyDescent="0.25">
      <c r="A225" s="85">
        <f t="shared" si="52"/>
        <v>17</v>
      </c>
      <c r="B225" s="85">
        <f t="shared" si="30"/>
        <v>1</v>
      </c>
      <c r="C225" s="84">
        <f t="shared" si="31"/>
        <v>52</v>
      </c>
      <c r="D225" s="84">
        <f>R17</f>
        <v>62</v>
      </c>
      <c r="F225" s="180">
        <f t="shared" si="32"/>
        <v>52</v>
      </c>
      <c r="G225" s="180"/>
      <c r="J225" s="113">
        <f t="shared" si="33"/>
        <v>7.2111025509279782</v>
      </c>
      <c r="K225" s="113">
        <f t="shared" si="34"/>
        <v>1.0485076389557959</v>
      </c>
      <c r="L225" s="113">
        <f t="shared" si="35"/>
        <v>3.8562499999999997</v>
      </c>
      <c r="N225" s="113">
        <f t="shared" si="53"/>
        <v>104.45755481555102</v>
      </c>
      <c r="O225" s="113">
        <f t="shared" si="54"/>
        <v>17.750757511477527</v>
      </c>
      <c r="Q225" s="121">
        <f t="shared" si="36"/>
        <v>0</v>
      </c>
      <c r="R225" s="121">
        <f t="shared" si="55"/>
        <v>0</v>
      </c>
      <c r="S225" s="121">
        <f t="shared" si="37"/>
        <v>0</v>
      </c>
      <c r="T225" s="121">
        <f t="shared" si="38"/>
        <v>1</v>
      </c>
      <c r="U225" s="121">
        <f t="shared" si="39"/>
        <v>0</v>
      </c>
      <c r="V225" s="121">
        <f t="shared" si="40"/>
        <v>0</v>
      </c>
      <c r="W225" s="121">
        <f t="shared" si="41"/>
        <v>0</v>
      </c>
      <c r="X225" s="121">
        <f t="shared" si="42"/>
        <v>0</v>
      </c>
      <c r="Y225" s="121">
        <f t="shared" si="43"/>
        <v>0</v>
      </c>
      <c r="Z225" s="121">
        <f t="shared" si="44"/>
        <v>3.8562499999999997</v>
      </c>
      <c r="AA225" s="121">
        <f t="shared" si="45"/>
        <v>0</v>
      </c>
      <c r="AB225" s="121">
        <f t="shared" si="46"/>
        <v>0</v>
      </c>
      <c r="AC225" s="121">
        <f t="shared" si="47"/>
        <v>3.8562499999999997</v>
      </c>
      <c r="AD225" s="121">
        <f t="shared" si="48"/>
        <v>1</v>
      </c>
      <c r="AF225" s="84">
        <f t="shared" si="56"/>
        <v>64.774739583333329</v>
      </c>
      <c r="AH225" s="124">
        <f t="shared" si="57"/>
        <v>17</v>
      </c>
      <c r="AI225" s="126">
        <f t="shared" si="49"/>
        <v>41</v>
      </c>
      <c r="AJ225" s="126">
        <f t="shared" si="50"/>
        <v>3.8562499999999997</v>
      </c>
      <c r="AK225" s="180">
        <f t="shared" si="51"/>
        <v>3.8562499999999997</v>
      </c>
      <c r="AM225" s="124">
        <f t="shared" si="58"/>
        <v>64.774739583333329</v>
      </c>
    </row>
    <row r="226" spans="1:39" s="84" customFormat="1" ht="15" x14ac:dyDescent="0.25">
      <c r="A226" s="85">
        <f t="shared" si="52"/>
        <v>18</v>
      </c>
      <c r="B226" s="85" t="str">
        <f t="shared" si="30"/>
        <v/>
      </c>
      <c r="C226" s="84">
        <f t="shared" si="31"/>
        <v>1</v>
      </c>
      <c r="D226" s="84">
        <f>R18</f>
        <v>0</v>
      </c>
      <c r="F226" s="180">
        <f t="shared" si="32"/>
        <v>53</v>
      </c>
      <c r="G226" s="180"/>
      <c r="J226" s="113">
        <f t="shared" si="33"/>
        <v>7.2801098892805181</v>
      </c>
      <c r="K226" s="113">
        <f t="shared" si="34"/>
        <v>1.0487470945190254</v>
      </c>
      <c r="L226" s="113">
        <f t="shared" si="35"/>
        <v>3.859375</v>
      </c>
      <c r="N226" s="113">
        <f t="shared" si="53"/>
        <v>111.73766470483154</v>
      </c>
      <c r="O226" s="113">
        <f t="shared" si="54"/>
        <v>18.799504605996553</v>
      </c>
      <c r="Q226" s="121">
        <f t="shared" si="36"/>
        <v>0</v>
      </c>
      <c r="R226" s="121">
        <f t="shared" si="55"/>
        <v>0</v>
      </c>
      <c r="S226" s="121">
        <f t="shared" si="37"/>
        <v>0</v>
      </c>
      <c r="T226" s="121">
        <f t="shared" si="38"/>
        <v>1</v>
      </c>
      <c r="U226" s="121">
        <f t="shared" si="39"/>
        <v>0</v>
      </c>
      <c r="V226" s="121">
        <f t="shared" si="40"/>
        <v>0</v>
      </c>
      <c r="W226" s="121">
        <f t="shared" si="41"/>
        <v>0</v>
      </c>
      <c r="X226" s="121">
        <f t="shared" si="42"/>
        <v>0</v>
      </c>
      <c r="Y226" s="121">
        <f t="shared" si="43"/>
        <v>0</v>
      </c>
      <c r="Z226" s="121">
        <f t="shared" si="44"/>
        <v>3.859375</v>
      </c>
      <c r="AA226" s="121">
        <f t="shared" si="45"/>
        <v>0</v>
      </c>
      <c r="AB226" s="121">
        <f t="shared" si="46"/>
        <v>0</v>
      </c>
      <c r="AC226" s="121">
        <f t="shared" si="47"/>
        <v>3.859375</v>
      </c>
      <c r="AD226" s="121">
        <f t="shared" si="48"/>
        <v>1</v>
      </c>
      <c r="AF226" s="84">
        <f t="shared" si="56"/>
        <v>68.634114583333329</v>
      </c>
      <c r="AH226" s="124">
        <f t="shared" si="57"/>
        <v>18</v>
      </c>
      <c r="AI226" s="126">
        <f t="shared" si="49"/>
        <v>42</v>
      </c>
      <c r="AJ226" s="126">
        <f t="shared" si="50"/>
        <v>3.859375</v>
      </c>
      <c r="AK226" s="180">
        <f t="shared" si="51"/>
        <v>3.859375</v>
      </c>
      <c r="AM226" s="124">
        <f t="shared" si="58"/>
        <v>68.634114583333329</v>
      </c>
    </row>
    <row r="227" spans="1:39" s="84" customFormat="1" ht="15" x14ac:dyDescent="0.25">
      <c r="A227" s="85">
        <f t="shared" si="52"/>
        <v>19</v>
      </c>
      <c r="B227" s="85" t="str">
        <f t="shared" si="30"/>
        <v/>
      </c>
      <c r="C227" s="84">
        <f t="shared" si="31"/>
        <v>1</v>
      </c>
      <c r="D227" s="84">
        <f>R19</f>
        <v>0</v>
      </c>
      <c r="F227" s="180">
        <f t="shared" si="32"/>
        <v>53</v>
      </c>
      <c r="G227" s="180"/>
      <c r="J227" s="113">
        <f t="shared" si="33"/>
        <v>7.2801098892805181</v>
      </c>
      <c r="K227" s="113">
        <f t="shared" si="34"/>
        <v>1.0487470945190254</v>
      </c>
      <c r="L227" s="113">
        <f t="shared" si="35"/>
        <v>3.859375</v>
      </c>
      <c r="N227" s="113">
        <f t="shared" si="53"/>
        <v>119.01777459411207</v>
      </c>
      <c r="O227" s="113">
        <f t="shared" si="54"/>
        <v>19.848251700515579</v>
      </c>
      <c r="Q227" s="121">
        <f t="shared" si="36"/>
        <v>0</v>
      </c>
      <c r="R227" s="121">
        <f t="shared" si="55"/>
        <v>0</v>
      </c>
      <c r="S227" s="121">
        <f t="shared" si="37"/>
        <v>0</v>
      </c>
      <c r="T227" s="121">
        <f t="shared" si="38"/>
        <v>1</v>
      </c>
      <c r="U227" s="121">
        <f t="shared" si="39"/>
        <v>0</v>
      </c>
      <c r="V227" s="121">
        <f t="shared" si="40"/>
        <v>0</v>
      </c>
      <c r="W227" s="121">
        <f t="shared" si="41"/>
        <v>0</v>
      </c>
      <c r="X227" s="121">
        <f t="shared" si="42"/>
        <v>0</v>
      </c>
      <c r="Y227" s="121">
        <f t="shared" si="43"/>
        <v>0</v>
      </c>
      <c r="Z227" s="121">
        <f t="shared" si="44"/>
        <v>3.859375</v>
      </c>
      <c r="AA227" s="121">
        <f t="shared" si="45"/>
        <v>0</v>
      </c>
      <c r="AB227" s="121">
        <f t="shared" si="46"/>
        <v>0</v>
      </c>
      <c r="AC227" s="121">
        <f t="shared" si="47"/>
        <v>3.859375</v>
      </c>
      <c r="AD227" s="121">
        <f t="shared" si="48"/>
        <v>1</v>
      </c>
      <c r="AF227" s="84">
        <f t="shared" si="56"/>
        <v>72.493489583333329</v>
      </c>
      <c r="AH227" s="124">
        <f t="shared" si="57"/>
        <v>19</v>
      </c>
      <c r="AI227" s="126">
        <f t="shared" si="49"/>
        <v>42</v>
      </c>
      <c r="AJ227" s="126">
        <f t="shared" si="50"/>
        <v>3.859375</v>
      </c>
      <c r="AK227" s="180">
        <f t="shared" si="51"/>
        <v>3.859375</v>
      </c>
      <c r="AM227" s="124">
        <f t="shared" si="58"/>
        <v>72.493489583333329</v>
      </c>
    </row>
    <row r="228" spans="1:39" s="84" customFormat="1" ht="15" x14ac:dyDescent="0.25">
      <c r="A228" s="85">
        <f t="shared" si="52"/>
        <v>20</v>
      </c>
      <c r="B228" s="85">
        <f t="shared" si="30"/>
        <v>1</v>
      </c>
      <c r="C228" s="84">
        <f t="shared" si="31"/>
        <v>44</v>
      </c>
      <c r="D228" s="84">
        <f>R20</f>
        <v>54</v>
      </c>
      <c r="F228" s="180">
        <f t="shared" si="32"/>
        <v>54</v>
      </c>
      <c r="G228" s="180"/>
      <c r="J228" s="113">
        <f t="shared" si="33"/>
        <v>7.3484692283495345</v>
      </c>
      <c r="K228" s="113">
        <f t="shared" si="34"/>
        <v>1.0489821271766036</v>
      </c>
      <c r="L228" s="113">
        <f t="shared" si="35"/>
        <v>3.8624999999999998</v>
      </c>
      <c r="N228" s="113">
        <f t="shared" si="53"/>
        <v>126.3662438224616</v>
      </c>
      <c r="O228" s="113">
        <f t="shared" si="54"/>
        <v>20.897233827692183</v>
      </c>
      <c r="Q228" s="121">
        <f t="shared" si="36"/>
        <v>0</v>
      </c>
      <c r="R228" s="121">
        <f t="shared" si="55"/>
        <v>0</v>
      </c>
      <c r="S228" s="121">
        <f t="shared" si="37"/>
        <v>0</v>
      </c>
      <c r="T228" s="121">
        <f t="shared" si="38"/>
        <v>0</v>
      </c>
      <c r="U228" s="121">
        <f t="shared" si="39"/>
        <v>1</v>
      </c>
      <c r="V228" s="121">
        <f t="shared" si="40"/>
        <v>0</v>
      </c>
      <c r="W228" s="121">
        <f t="shared" si="41"/>
        <v>0</v>
      </c>
      <c r="X228" s="121">
        <f t="shared" si="42"/>
        <v>0</v>
      </c>
      <c r="Y228" s="121">
        <f t="shared" si="43"/>
        <v>0</v>
      </c>
      <c r="Z228" s="121">
        <f t="shared" si="44"/>
        <v>0</v>
      </c>
      <c r="AA228" s="121">
        <f t="shared" si="45"/>
        <v>3.8624999999999998</v>
      </c>
      <c r="AB228" s="121">
        <f t="shared" si="46"/>
        <v>0</v>
      </c>
      <c r="AC228" s="121">
        <f t="shared" si="47"/>
        <v>3.8624999999999998</v>
      </c>
      <c r="AD228" s="121">
        <f t="shared" si="48"/>
        <v>1</v>
      </c>
      <c r="AF228" s="84">
        <f t="shared" si="56"/>
        <v>76.355989583333326</v>
      </c>
      <c r="AH228" s="124">
        <f t="shared" si="57"/>
        <v>20</v>
      </c>
      <c r="AI228" s="126">
        <f t="shared" si="49"/>
        <v>44</v>
      </c>
      <c r="AJ228" s="126">
        <f t="shared" si="50"/>
        <v>3.8624999999999998</v>
      </c>
      <c r="AK228" s="180">
        <f t="shared" si="51"/>
        <v>3.8624999999999998</v>
      </c>
      <c r="AM228" s="124">
        <f t="shared" si="58"/>
        <v>76.355989583333326</v>
      </c>
    </row>
    <row r="229" spans="1:39" s="84" customFormat="1" ht="15" x14ac:dyDescent="0.25">
      <c r="A229" s="85">
        <f t="shared" si="52"/>
        <v>21</v>
      </c>
      <c r="B229" s="85">
        <f t="shared" si="30"/>
        <v>1</v>
      </c>
      <c r="C229" s="84">
        <f t="shared" si="31"/>
        <v>41</v>
      </c>
      <c r="D229" s="84">
        <f>R21</f>
        <v>52</v>
      </c>
      <c r="F229" s="180">
        <f t="shared" si="32"/>
        <v>54</v>
      </c>
      <c r="G229" s="180"/>
      <c r="J229" s="113">
        <f t="shared" si="33"/>
        <v>7.3484692283495345</v>
      </c>
      <c r="K229" s="113">
        <f t="shared" si="34"/>
        <v>1.0489821271766036</v>
      </c>
      <c r="L229" s="113">
        <f t="shared" si="35"/>
        <v>3.8624999999999998</v>
      </c>
      <c r="N229" s="113">
        <f t="shared" si="53"/>
        <v>133.71471305081113</v>
      </c>
      <c r="O229" s="113">
        <f t="shared" si="54"/>
        <v>21.946215954868787</v>
      </c>
      <c r="Q229" s="121">
        <f t="shared" si="36"/>
        <v>0</v>
      </c>
      <c r="R229" s="121">
        <f t="shared" si="55"/>
        <v>0</v>
      </c>
      <c r="S229" s="121">
        <f t="shared" si="37"/>
        <v>0</v>
      </c>
      <c r="T229" s="121">
        <f t="shared" si="38"/>
        <v>0</v>
      </c>
      <c r="U229" s="121">
        <f t="shared" si="39"/>
        <v>1</v>
      </c>
      <c r="V229" s="121">
        <f t="shared" si="40"/>
        <v>0</v>
      </c>
      <c r="W229" s="121">
        <f t="shared" si="41"/>
        <v>0</v>
      </c>
      <c r="X229" s="121">
        <f t="shared" si="42"/>
        <v>0</v>
      </c>
      <c r="Y229" s="121">
        <f t="shared" si="43"/>
        <v>0</v>
      </c>
      <c r="Z229" s="121">
        <f t="shared" si="44"/>
        <v>0</v>
      </c>
      <c r="AA229" s="121">
        <f t="shared" si="45"/>
        <v>3.8624999999999998</v>
      </c>
      <c r="AB229" s="121">
        <f t="shared" si="46"/>
        <v>0</v>
      </c>
      <c r="AC229" s="121">
        <f t="shared" si="47"/>
        <v>3.8624999999999998</v>
      </c>
      <c r="AD229" s="121">
        <f t="shared" si="48"/>
        <v>1</v>
      </c>
      <c r="AF229" s="84">
        <f t="shared" si="56"/>
        <v>80.218489583333323</v>
      </c>
      <c r="AH229" s="124">
        <f t="shared" si="57"/>
        <v>21</v>
      </c>
      <c r="AI229" s="126">
        <f t="shared" si="49"/>
        <v>44</v>
      </c>
      <c r="AJ229" s="126">
        <f t="shared" si="50"/>
        <v>3.8624999999999998</v>
      </c>
      <c r="AK229" s="180">
        <f t="shared" si="51"/>
        <v>3.8624999999999998</v>
      </c>
      <c r="AM229" s="124">
        <f t="shared" si="58"/>
        <v>80.218489583333323</v>
      </c>
    </row>
    <row r="230" spans="1:39" s="84" customFormat="1" ht="15" x14ac:dyDescent="0.25">
      <c r="A230" s="85">
        <f t="shared" si="52"/>
        <v>22</v>
      </c>
      <c r="B230" s="85">
        <f t="shared" si="30"/>
        <v>1</v>
      </c>
      <c r="C230" s="84">
        <f t="shared" si="31"/>
        <v>60</v>
      </c>
      <c r="D230" s="84">
        <f>S17</f>
        <v>75</v>
      </c>
      <c r="F230" s="180">
        <f t="shared" si="32"/>
        <v>55</v>
      </c>
      <c r="G230" s="180"/>
      <c r="J230" s="113">
        <f t="shared" si="33"/>
        <v>7.416198487095663</v>
      </c>
      <c r="K230" s="113">
        <f t="shared" si="34"/>
        <v>1.0492128982958069</v>
      </c>
      <c r="L230" s="113">
        <f t="shared" si="35"/>
        <v>3.8635227272727271</v>
      </c>
      <c r="N230" s="113">
        <f t="shared" si="53"/>
        <v>141.1309115379068</v>
      </c>
      <c r="O230" s="113">
        <f t="shared" si="54"/>
        <v>22.995428853164594</v>
      </c>
      <c r="Q230" s="121">
        <f t="shared" si="36"/>
        <v>0</v>
      </c>
      <c r="R230" s="121">
        <f t="shared" si="55"/>
        <v>0</v>
      </c>
      <c r="S230" s="121">
        <f t="shared" si="37"/>
        <v>0</v>
      </c>
      <c r="T230" s="121">
        <f t="shared" si="38"/>
        <v>0</v>
      </c>
      <c r="U230" s="121">
        <f t="shared" si="39"/>
        <v>1</v>
      </c>
      <c r="V230" s="121">
        <f t="shared" si="40"/>
        <v>0</v>
      </c>
      <c r="W230" s="121">
        <f t="shared" si="41"/>
        <v>0</v>
      </c>
      <c r="X230" s="121">
        <f t="shared" si="42"/>
        <v>0</v>
      </c>
      <c r="Y230" s="121">
        <f t="shared" si="43"/>
        <v>0</v>
      </c>
      <c r="Z230" s="121">
        <f t="shared" si="44"/>
        <v>0</v>
      </c>
      <c r="AA230" s="121">
        <f t="shared" si="45"/>
        <v>3.8635227272727271</v>
      </c>
      <c r="AB230" s="121">
        <f t="shared" si="46"/>
        <v>0</v>
      </c>
      <c r="AC230" s="121">
        <f t="shared" si="47"/>
        <v>3.8635227272727271</v>
      </c>
      <c r="AD230" s="121">
        <f t="shared" si="48"/>
        <v>1</v>
      </c>
      <c r="AF230" s="84">
        <f t="shared" si="56"/>
        <v>84.082012310606046</v>
      </c>
      <c r="AH230" s="124">
        <f t="shared" si="57"/>
        <v>22</v>
      </c>
      <c r="AI230" s="126">
        <f t="shared" si="49"/>
        <v>46</v>
      </c>
      <c r="AJ230" s="126">
        <f t="shared" si="50"/>
        <v>3.8635227272727271</v>
      </c>
      <c r="AK230" s="180">
        <f t="shared" si="51"/>
        <v>3.8635227272727271</v>
      </c>
      <c r="AM230" s="124">
        <f t="shared" si="58"/>
        <v>84.082012310606046</v>
      </c>
    </row>
    <row r="231" spans="1:39" s="84" customFormat="1" ht="15" x14ac:dyDescent="0.25">
      <c r="A231" s="85">
        <f t="shared" si="52"/>
        <v>23</v>
      </c>
      <c r="B231" s="85" t="str">
        <f t="shared" si="30"/>
        <v/>
      </c>
      <c r="C231" s="84">
        <f t="shared" si="31"/>
        <v>1</v>
      </c>
      <c r="D231" s="84">
        <f>S18</f>
        <v>0</v>
      </c>
      <c r="F231" s="180">
        <f t="shared" si="32"/>
        <v>55</v>
      </c>
      <c r="G231" s="180"/>
      <c r="J231" s="113">
        <f t="shared" si="33"/>
        <v>7.416198487095663</v>
      </c>
      <c r="K231" s="113">
        <f t="shared" si="34"/>
        <v>1.0492128982958069</v>
      </c>
      <c r="L231" s="113">
        <f t="shared" si="35"/>
        <v>3.8635227272727271</v>
      </c>
      <c r="N231" s="113">
        <f t="shared" si="53"/>
        <v>148.54711002500247</v>
      </c>
      <c r="O231" s="113">
        <f t="shared" si="54"/>
        <v>24.0446417514604</v>
      </c>
      <c r="Q231" s="121">
        <f t="shared" si="36"/>
        <v>0</v>
      </c>
      <c r="R231" s="121">
        <f t="shared" si="55"/>
        <v>0</v>
      </c>
      <c r="S231" s="121">
        <f t="shared" si="37"/>
        <v>0</v>
      </c>
      <c r="T231" s="121">
        <f t="shared" si="38"/>
        <v>0</v>
      </c>
      <c r="U231" s="121">
        <f t="shared" si="39"/>
        <v>1</v>
      </c>
      <c r="V231" s="121">
        <f t="shared" si="40"/>
        <v>0</v>
      </c>
      <c r="W231" s="121">
        <f t="shared" si="41"/>
        <v>0</v>
      </c>
      <c r="X231" s="121">
        <f t="shared" si="42"/>
        <v>0</v>
      </c>
      <c r="Y231" s="121">
        <f t="shared" si="43"/>
        <v>0</v>
      </c>
      <c r="Z231" s="121">
        <f t="shared" si="44"/>
        <v>0</v>
      </c>
      <c r="AA231" s="121">
        <f t="shared" si="45"/>
        <v>3.8635227272727271</v>
      </c>
      <c r="AB231" s="121">
        <f t="shared" si="46"/>
        <v>0</v>
      </c>
      <c r="AC231" s="121">
        <f t="shared" si="47"/>
        <v>3.8635227272727271</v>
      </c>
      <c r="AD231" s="121">
        <f t="shared" si="48"/>
        <v>1</v>
      </c>
      <c r="AF231" s="84">
        <f t="shared" si="56"/>
        <v>87.94553503787877</v>
      </c>
      <c r="AH231" s="124">
        <f t="shared" si="57"/>
        <v>23</v>
      </c>
      <c r="AI231" s="126">
        <f t="shared" si="49"/>
        <v>46</v>
      </c>
      <c r="AJ231" s="126">
        <f t="shared" si="50"/>
        <v>3.8635227272727271</v>
      </c>
      <c r="AK231" s="180">
        <f t="shared" si="51"/>
        <v>3.8635227272727271</v>
      </c>
      <c r="AM231" s="124">
        <f t="shared" si="58"/>
        <v>87.94553503787877</v>
      </c>
    </row>
    <row r="232" spans="1:39" s="84" customFormat="1" ht="15" x14ac:dyDescent="0.25">
      <c r="A232" s="85">
        <f t="shared" si="52"/>
        <v>24</v>
      </c>
      <c r="B232" s="85" t="str">
        <f t="shared" si="30"/>
        <v/>
      </c>
      <c r="C232" s="84">
        <f t="shared" si="31"/>
        <v>1</v>
      </c>
      <c r="D232" s="84">
        <f>S19</f>
        <v>0</v>
      </c>
      <c r="F232" s="180">
        <f t="shared" si="32"/>
        <v>56</v>
      </c>
      <c r="G232" s="180"/>
      <c r="J232" s="113">
        <f t="shared" si="33"/>
        <v>7.4833147735478827</v>
      </c>
      <c r="K232" s="113">
        <f t="shared" si="34"/>
        <v>1.0494395605542985</v>
      </c>
      <c r="L232" s="113">
        <f t="shared" si="35"/>
        <v>3.8645454545454543</v>
      </c>
      <c r="N232" s="113">
        <f t="shared" si="53"/>
        <v>156.03042479855034</v>
      </c>
      <c r="O232" s="113">
        <f t="shared" si="54"/>
        <v>25.094081312014698</v>
      </c>
      <c r="Q232" s="121">
        <f t="shared" si="36"/>
        <v>0</v>
      </c>
      <c r="R232" s="121">
        <f t="shared" si="55"/>
        <v>0</v>
      </c>
      <c r="S232" s="121">
        <f t="shared" si="37"/>
        <v>0</v>
      </c>
      <c r="T232" s="121">
        <f t="shared" si="38"/>
        <v>0</v>
      </c>
      <c r="U232" s="121">
        <f t="shared" si="39"/>
        <v>1</v>
      </c>
      <c r="V232" s="121">
        <f t="shared" si="40"/>
        <v>0</v>
      </c>
      <c r="W232" s="121">
        <f t="shared" si="41"/>
        <v>0</v>
      </c>
      <c r="X232" s="121">
        <f t="shared" si="42"/>
        <v>0</v>
      </c>
      <c r="Y232" s="121">
        <f t="shared" si="43"/>
        <v>0</v>
      </c>
      <c r="Z232" s="121">
        <f t="shared" si="44"/>
        <v>0</v>
      </c>
      <c r="AA232" s="121">
        <f t="shared" si="45"/>
        <v>3.8645454545454543</v>
      </c>
      <c r="AB232" s="121">
        <f t="shared" si="46"/>
        <v>0</v>
      </c>
      <c r="AC232" s="121">
        <f t="shared" si="47"/>
        <v>3.8645454545454543</v>
      </c>
      <c r="AD232" s="121">
        <f t="shared" si="48"/>
        <v>1</v>
      </c>
      <c r="AF232" s="84">
        <f t="shared" si="56"/>
        <v>91.81008049242422</v>
      </c>
      <c r="AH232" s="124">
        <f t="shared" si="57"/>
        <v>24</v>
      </c>
      <c r="AI232" s="126">
        <f t="shared" si="49"/>
        <v>48</v>
      </c>
      <c r="AJ232" s="126">
        <f t="shared" si="50"/>
        <v>3.8645454545454543</v>
      </c>
      <c r="AK232" s="180">
        <f t="shared" si="51"/>
        <v>3.8645454545454543</v>
      </c>
      <c r="AM232" s="124">
        <f t="shared" si="58"/>
        <v>91.81008049242422</v>
      </c>
    </row>
    <row r="233" spans="1:39" s="84" customFormat="1" ht="15" x14ac:dyDescent="0.25">
      <c r="A233" s="85">
        <f t="shared" si="52"/>
        <v>25</v>
      </c>
      <c r="B233" s="85">
        <f t="shared" si="30"/>
        <v>1</v>
      </c>
      <c r="C233" s="84">
        <f t="shared" si="31"/>
        <v>55</v>
      </c>
      <c r="D233" s="84">
        <f>S20</f>
        <v>65</v>
      </c>
      <c r="F233" s="180">
        <f t="shared" si="32"/>
        <v>57</v>
      </c>
      <c r="G233" s="180"/>
      <c r="J233" s="113">
        <f t="shared" si="33"/>
        <v>7.5498344352707498</v>
      </c>
      <c r="K233" s="113">
        <f t="shared" si="34"/>
        <v>1.0496622585536262</v>
      </c>
      <c r="L233" s="113">
        <f t="shared" si="35"/>
        <v>3.8655681818181815</v>
      </c>
      <c r="N233" s="113">
        <f t="shared" si="53"/>
        <v>163.5802592338211</v>
      </c>
      <c r="O233" s="113">
        <f t="shared" si="54"/>
        <v>26.143743570568326</v>
      </c>
      <c r="Q233" s="121">
        <f t="shared" si="36"/>
        <v>0</v>
      </c>
      <c r="R233" s="121">
        <f t="shared" si="55"/>
        <v>0</v>
      </c>
      <c r="S233" s="121">
        <f t="shared" si="37"/>
        <v>0</v>
      </c>
      <c r="T233" s="121">
        <f t="shared" si="38"/>
        <v>0</v>
      </c>
      <c r="U233" s="121">
        <f t="shared" si="39"/>
        <v>1</v>
      </c>
      <c r="V233" s="121">
        <f t="shared" si="40"/>
        <v>0</v>
      </c>
      <c r="W233" s="121">
        <f t="shared" si="41"/>
        <v>0</v>
      </c>
      <c r="X233" s="121">
        <f t="shared" si="42"/>
        <v>0</v>
      </c>
      <c r="Y233" s="121">
        <f t="shared" si="43"/>
        <v>0</v>
      </c>
      <c r="Z233" s="121">
        <f t="shared" si="44"/>
        <v>0</v>
      </c>
      <c r="AA233" s="121">
        <f t="shared" si="45"/>
        <v>3.8655681818181815</v>
      </c>
      <c r="AB233" s="121">
        <f t="shared" si="46"/>
        <v>0</v>
      </c>
      <c r="AC233" s="121">
        <f t="shared" si="47"/>
        <v>3.8655681818181815</v>
      </c>
      <c r="AD233" s="121">
        <f t="shared" si="48"/>
        <v>1</v>
      </c>
      <c r="AF233" s="84">
        <f t="shared" si="56"/>
        <v>95.675648674242396</v>
      </c>
      <c r="AH233" s="124">
        <f t="shared" si="57"/>
        <v>25</v>
      </c>
      <c r="AI233" s="126">
        <f t="shared" si="49"/>
        <v>49</v>
      </c>
      <c r="AJ233" s="126">
        <f t="shared" si="50"/>
        <v>3.8655681818181815</v>
      </c>
      <c r="AK233" s="180">
        <f t="shared" si="51"/>
        <v>3.8655681818181815</v>
      </c>
      <c r="AM233" s="124">
        <f t="shared" si="58"/>
        <v>95.675648674242396</v>
      </c>
    </row>
    <row r="234" spans="1:39" s="84" customFormat="1" ht="15" x14ac:dyDescent="0.25">
      <c r="A234" s="85">
        <f t="shared" si="52"/>
        <v>26</v>
      </c>
      <c r="B234" s="85">
        <f t="shared" si="30"/>
        <v>1</v>
      </c>
      <c r="C234" s="84">
        <f t="shared" si="31"/>
        <v>52</v>
      </c>
      <c r="D234" s="84">
        <f>S21</f>
        <v>62</v>
      </c>
      <c r="F234" s="180">
        <f t="shared" si="32"/>
        <v>58</v>
      </c>
      <c r="G234" s="180"/>
      <c r="J234" s="113">
        <f t="shared" si="33"/>
        <v>7.6157731058639087</v>
      </c>
      <c r="K234" s="113">
        <f t="shared" si="34"/>
        <v>1.0498811293794885</v>
      </c>
      <c r="L234" s="113">
        <f t="shared" si="35"/>
        <v>3.8665909090909087</v>
      </c>
      <c r="N234" s="113">
        <f t="shared" si="53"/>
        <v>171.19603233968502</v>
      </c>
      <c r="O234" s="113">
        <f t="shared" si="54"/>
        <v>27.193624699947815</v>
      </c>
      <c r="Q234" s="121">
        <f t="shared" si="36"/>
        <v>0</v>
      </c>
      <c r="R234" s="121">
        <f t="shared" si="55"/>
        <v>0</v>
      </c>
      <c r="S234" s="121">
        <f t="shared" si="37"/>
        <v>0</v>
      </c>
      <c r="T234" s="121">
        <f t="shared" si="38"/>
        <v>0</v>
      </c>
      <c r="U234" s="121">
        <f t="shared" si="39"/>
        <v>1</v>
      </c>
      <c r="V234" s="121">
        <f t="shared" si="40"/>
        <v>0</v>
      </c>
      <c r="W234" s="121">
        <f t="shared" si="41"/>
        <v>0</v>
      </c>
      <c r="X234" s="121">
        <f t="shared" si="42"/>
        <v>0</v>
      </c>
      <c r="Y234" s="121">
        <f t="shared" si="43"/>
        <v>0</v>
      </c>
      <c r="Z234" s="121">
        <f t="shared" si="44"/>
        <v>0</v>
      </c>
      <c r="AA234" s="121">
        <f t="shared" si="45"/>
        <v>3.8665909090909087</v>
      </c>
      <c r="AB234" s="121">
        <f t="shared" si="46"/>
        <v>0</v>
      </c>
      <c r="AC234" s="121">
        <f t="shared" si="47"/>
        <v>3.8665909090909087</v>
      </c>
      <c r="AD234" s="121">
        <f t="shared" si="48"/>
        <v>1</v>
      </c>
      <c r="AF234" s="84">
        <f t="shared" si="56"/>
        <v>99.542239583333298</v>
      </c>
      <c r="AH234" s="124">
        <f t="shared" si="57"/>
        <v>26</v>
      </c>
      <c r="AI234" s="126">
        <f t="shared" si="49"/>
        <v>50</v>
      </c>
      <c r="AJ234" s="126">
        <f t="shared" si="50"/>
        <v>3.8665909090909087</v>
      </c>
      <c r="AK234" s="180">
        <f t="shared" si="51"/>
        <v>3.8665909090909087</v>
      </c>
      <c r="AM234" s="124">
        <f t="shared" si="58"/>
        <v>99.542239583333298</v>
      </c>
    </row>
    <row r="235" spans="1:39" s="84" customFormat="1" ht="15" x14ac:dyDescent="0.25">
      <c r="A235" s="85">
        <f t="shared" si="52"/>
        <v>27</v>
      </c>
      <c r="B235" s="85">
        <f t="shared" si="30"/>
        <v>1</v>
      </c>
      <c r="C235" s="84">
        <f t="shared" si="31"/>
        <v>59</v>
      </c>
      <c r="D235" s="84">
        <f>T17</f>
        <v>68</v>
      </c>
      <c r="F235" s="180">
        <f t="shared" si="32"/>
        <v>60</v>
      </c>
      <c r="G235" s="180"/>
      <c r="J235" s="113">
        <f t="shared" si="33"/>
        <v>7.745966692414834</v>
      </c>
      <c r="K235" s="113">
        <f t="shared" si="34"/>
        <v>1.0503079033062801</v>
      </c>
      <c r="L235" s="113">
        <f t="shared" si="35"/>
        <v>3.8686363636363637</v>
      </c>
      <c r="N235" s="113">
        <f t="shared" si="53"/>
        <v>178.94199903209986</v>
      </c>
      <c r="O235" s="113">
        <f t="shared" si="54"/>
        <v>28.243932603254095</v>
      </c>
      <c r="Q235" s="121">
        <f t="shared" si="36"/>
        <v>0</v>
      </c>
      <c r="R235" s="121">
        <f t="shared" si="55"/>
        <v>0</v>
      </c>
      <c r="S235" s="121">
        <f t="shared" si="37"/>
        <v>0</v>
      </c>
      <c r="T235" s="121">
        <f t="shared" si="38"/>
        <v>0</v>
      </c>
      <c r="U235" s="121">
        <f t="shared" si="39"/>
        <v>1</v>
      </c>
      <c r="V235" s="121">
        <f t="shared" si="40"/>
        <v>0</v>
      </c>
      <c r="W235" s="121">
        <f t="shared" si="41"/>
        <v>0</v>
      </c>
      <c r="X235" s="121">
        <f t="shared" si="42"/>
        <v>0</v>
      </c>
      <c r="Y235" s="121">
        <f t="shared" si="43"/>
        <v>0</v>
      </c>
      <c r="Z235" s="121">
        <f t="shared" si="44"/>
        <v>0</v>
      </c>
      <c r="AA235" s="121">
        <f t="shared" si="45"/>
        <v>3.8686363636363637</v>
      </c>
      <c r="AB235" s="121">
        <f t="shared" si="46"/>
        <v>0</v>
      </c>
      <c r="AC235" s="121">
        <f t="shared" si="47"/>
        <v>3.8686363636363637</v>
      </c>
      <c r="AD235" s="121">
        <f t="shared" si="48"/>
        <v>1</v>
      </c>
      <c r="AF235" s="84">
        <f t="shared" si="56"/>
        <v>103.41087594696967</v>
      </c>
      <c r="AH235" s="124">
        <f t="shared" si="57"/>
        <v>27</v>
      </c>
      <c r="AI235" s="126">
        <f t="shared" si="49"/>
        <v>51</v>
      </c>
      <c r="AJ235" s="126">
        <f t="shared" si="50"/>
        <v>3.8686363636363637</v>
      </c>
      <c r="AK235" s="180">
        <f t="shared" si="51"/>
        <v>3.8686363636363637</v>
      </c>
      <c r="AM235" s="124">
        <f t="shared" si="58"/>
        <v>103.41087594696967</v>
      </c>
    </row>
    <row r="236" spans="1:39" s="84" customFormat="1" ht="15" x14ac:dyDescent="0.25">
      <c r="A236" s="85">
        <f t="shared" si="52"/>
        <v>28</v>
      </c>
      <c r="B236" s="85" t="str">
        <f t="shared" si="30"/>
        <v/>
      </c>
      <c r="C236" s="84">
        <f t="shared" si="31"/>
        <v>1</v>
      </c>
      <c r="D236" s="84">
        <f>T18</f>
        <v>0</v>
      </c>
      <c r="F236" s="180">
        <f t="shared" si="32"/>
        <v>62</v>
      </c>
      <c r="G236" s="180"/>
      <c r="J236" s="113">
        <f t="shared" si="33"/>
        <v>7.8740078740118111</v>
      </c>
      <c r="K236" s="113">
        <f t="shared" si="34"/>
        <v>1.0507208471368004</v>
      </c>
      <c r="L236" s="113">
        <f t="shared" si="35"/>
        <v>3.8706818181818181</v>
      </c>
      <c r="N236" s="113">
        <f t="shared" si="53"/>
        <v>186.81600690611168</v>
      </c>
      <c r="O236" s="113">
        <f t="shared" si="54"/>
        <v>29.294653450390896</v>
      </c>
      <c r="Q236" s="121">
        <f t="shared" si="36"/>
        <v>0</v>
      </c>
      <c r="R236" s="121">
        <f t="shared" si="55"/>
        <v>0</v>
      </c>
      <c r="S236" s="121">
        <f t="shared" si="37"/>
        <v>0</v>
      </c>
      <c r="T236" s="121">
        <f t="shared" si="38"/>
        <v>0</v>
      </c>
      <c r="U236" s="121">
        <f t="shared" si="39"/>
        <v>1</v>
      </c>
      <c r="V236" s="121">
        <f t="shared" si="40"/>
        <v>0</v>
      </c>
      <c r="W236" s="121">
        <f t="shared" si="41"/>
        <v>0</v>
      </c>
      <c r="X236" s="121">
        <f t="shared" si="42"/>
        <v>0</v>
      </c>
      <c r="Y236" s="121">
        <f t="shared" si="43"/>
        <v>0</v>
      </c>
      <c r="Z236" s="121">
        <f t="shared" si="44"/>
        <v>0</v>
      </c>
      <c r="AA236" s="121">
        <f t="shared" si="45"/>
        <v>3.8706818181818181</v>
      </c>
      <c r="AB236" s="121">
        <f t="shared" si="46"/>
        <v>0</v>
      </c>
      <c r="AC236" s="121">
        <f t="shared" si="47"/>
        <v>3.8706818181818181</v>
      </c>
      <c r="AD236" s="121">
        <f t="shared" si="48"/>
        <v>1</v>
      </c>
      <c r="AF236" s="84">
        <f t="shared" si="56"/>
        <v>107.28155776515149</v>
      </c>
      <c r="AH236" s="124">
        <f t="shared" si="57"/>
        <v>28</v>
      </c>
      <c r="AI236" s="126">
        <f t="shared" si="49"/>
        <v>52</v>
      </c>
      <c r="AJ236" s="126">
        <f t="shared" si="50"/>
        <v>3.8706818181818181</v>
      </c>
      <c r="AK236" s="180">
        <f t="shared" si="51"/>
        <v>3.8706818181818181</v>
      </c>
      <c r="AM236" s="124">
        <f t="shared" si="58"/>
        <v>107.28155776515149</v>
      </c>
    </row>
    <row r="237" spans="1:39" s="84" customFormat="1" ht="15" x14ac:dyDescent="0.25">
      <c r="A237" s="85">
        <f t="shared" si="52"/>
        <v>29</v>
      </c>
      <c r="B237" s="85" t="str">
        <f t="shared" si="30"/>
        <v/>
      </c>
      <c r="C237" s="84">
        <f t="shared" si="31"/>
        <v>1</v>
      </c>
      <c r="D237" s="84">
        <f>T19</f>
        <v>0</v>
      </c>
      <c r="F237" s="180">
        <f t="shared" si="32"/>
        <v>62</v>
      </c>
      <c r="G237" s="180"/>
      <c r="J237" s="113">
        <f t="shared" si="33"/>
        <v>7.8740078740118111</v>
      </c>
      <c r="K237" s="113">
        <f t="shared" si="34"/>
        <v>1.0507208471368004</v>
      </c>
      <c r="L237" s="113">
        <f t="shared" si="35"/>
        <v>3.8706818181818181</v>
      </c>
      <c r="N237" s="113">
        <f t="shared" si="53"/>
        <v>194.69001478012351</v>
      </c>
      <c r="O237" s="113">
        <f t="shared" si="54"/>
        <v>30.345374297527698</v>
      </c>
      <c r="Q237" s="121">
        <f t="shared" si="36"/>
        <v>0</v>
      </c>
      <c r="R237" s="121">
        <f t="shared" si="55"/>
        <v>0</v>
      </c>
      <c r="S237" s="121">
        <f t="shared" si="37"/>
        <v>0</v>
      </c>
      <c r="T237" s="121">
        <f t="shared" si="38"/>
        <v>0</v>
      </c>
      <c r="U237" s="121">
        <f t="shared" si="39"/>
        <v>1</v>
      </c>
      <c r="V237" s="121">
        <f t="shared" si="40"/>
        <v>0</v>
      </c>
      <c r="W237" s="121">
        <f t="shared" si="41"/>
        <v>0</v>
      </c>
      <c r="X237" s="121">
        <f t="shared" si="42"/>
        <v>0</v>
      </c>
      <c r="Y237" s="121">
        <f t="shared" si="43"/>
        <v>0</v>
      </c>
      <c r="Z237" s="121">
        <f t="shared" si="44"/>
        <v>0</v>
      </c>
      <c r="AA237" s="121">
        <f t="shared" si="45"/>
        <v>3.8706818181818181</v>
      </c>
      <c r="AB237" s="121">
        <f t="shared" si="46"/>
        <v>0</v>
      </c>
      <c r="AC237" s="121">
        <f t="shared" si="47"/>
        <v>3.8706818181818181</v>
      </c>
      <c r="AD237" s="121">
        <f t="shared" si="48"/>
        <v>1</v>
      </c>
      <c r="AF237" s="84">
        <f t="shared" si="56"/>
        <v>111.15223958333331</v>
      </c>
      <c r="AH237" s="124">
        <f t="shared" si="57"/>
        <v>29</v>
      </c>
      <c r="AI237" s="126">
        <f t="shared" si="49"/>
        <v>52</v>
      </c>
      <c r="AJ237" s="126">
        <f t="shared" si="50"/>
        <v>3.8706818181818181</v>
      </c>
      <c r="AK237" s="180">
        <f t="shared" si="51"/>
        <v>3.8706818181818181</v>
      </c>
      <c r="AM237" s="124">
        <f t="shared" si="58"/>
        <v>111.15223958333331</v>
      </c>
    </row>
    <row r="238" spans="1:39" s="84" customFormat="1" ht="15" x14ac:dyDescent="0.25">
      <c r="A238" s="85">
        <f t="shared" si="52"/>
        <v>30</v>
      </c>
      <c r="B238" s="85">
        <f t="shared" si="30"/>
        <v>1</v>
      </c>
      <c r="C238" s="84">
        <f t="shared" si="31"/>
        <v>55</v>
      </c>
      <c r="D238" s="84">
        <f>T20</f>
        <v>65</v>
      </c>
      <c r="F238" s="180">
        <f t="shared" si="32"/>
        <v>62</v>
      </c>
      <c r="G238" s="180"/>
      <c r="J238" s="113">
        <f t="shared" si="33"/>
        <v>7.8740078740118111</v>
      </c>
      <c r="K238" s="113">
        <f t="shared" si="34"/>
        <v>1.0507208471368004</v>
      </c>
      <c r="L238" s="113">
        <f t="shared" si="35"/>
        <v>3.8706818181818181</v>
      </c>
      <c r="N238" s="113">
        <f t="shared" si="53"/>
        <v>202.56402265413533</v>
      </c>
      <c r="O238" s="113">
        <f t="shared" si="54"/>
        <v>31.3960951446645</v>
      </c>
      <c r="Q238" s="121">
        <f t="shared" si="36"/>
        <v>0</v>
      </c>
      <c r="R238" s="121">
        <f t="shared" si="55"/>
        <v>0</v>
      </c>
      <c r="S238" s="121">
        <f t="shared" si="37"/>
        <v>0</v>
      </c>
      <c r="T238" s="121">
        <f t="shared" si="38"/>
        <v>0</v>
      </c>
      <c r="U238" s="121">
        <f t="shared" si="39"/>
        <v>1</v>
      </c>
      <c r="V238" s="121">
        <f t="shared" si="40"/>
        <v>0</v>
      </c>
      <c r="W238" s="121">
        <f t="shared" si="41"/>
        <v>0</v>
      </c>
      <c r="X238" s="121">
        <f t="shared" si="42"/>
        <v>0</v>
      </c>
      <c r="Y238" s="121">
        <f t="shared" si="43"/>
        <v>0</v>
      </c>
      <c r="Z238" s="121">
        <f t="shared" si="44"/>
        <v>0</v>
      </c>
      <c r="AA238" s="121">
        <f t="shared" si="45"/>
        <v>3.8706818181818181</v>
      </c>
      <c r="AB238" s="121">
        <f t="shared" si="46"/>
        <v>0</v>
      </c>
      <c r="AC238" s="121">
        <f t="shared" si="47"/>
        <v>3.8706818181818181</v>
      </c>
      <c r="AD238" s="121">
        <f t="shared" si="48"/>
        <v>1</v>
      </c>
      <c r="AF238" s="84">
        <f t="shared" si="56"/>
        <v>115.02292140151513</v>
      </c>
      <c r="AH238" s="124">
        <f t="shared" si="57"/>
        <v>30</v>
      </c>
      <c r="AI238" s="126">
        <f t="shared" si="49"/>
        <v>52</v>
      </c>
      <c r="AJ238" s="126">
        <f t="shared" si="50"/>
        <v>3.8706818181818181</v>
      </c>
      <c r="AK238" s="180">
        <f t="shared" si="51"/>
        <v>3.8706818181818181</v>
      </c>
      <c r="AM238" s="124">
        <f t="shared" si="58"/>
        <v>115.02292140151513</v>
      </c>
    </row>
    <row r="239" spans="1:39" s="84" customFormat="1" ht="15" x14ac:dyDescent="0.25">
      <c r="A239" s="85">
        <f t="shared" si="52"/>
        <v>31</v>
      </c>
      <c r="B239" s="85">
        <f t="shared" si="30"/>
        <v>1</v>
      </c>
      <c r="C239" s="84">
        <f t="shared" si="31"/>
        <v>51</v>
      </c>
      <c r="D239" s="84">
        <f>T21</f>
        <v>60</v>
      </c>
      <c r="F239" s="180">
        <f t="shared" si="32"/>
        <v>65</v>
      </c>
      <c r="G239" s="180"/>
      <c r="J239" s="113">
        <f t="shared" si="33"/>
        <v>8.0622577482985491</v>
      </c>
      <c r="K239" s="113">
        <f t="shared" si="34"/>
        <v>1.0513162194142187</v>
      </c>
      <c r="L239" s="113">
        <f t="shared" si="35"/>
        <v>3.8737499999999998</v>
      </c>
      <c r="N239" s="113">
        <f t="shared" si="53"/>
        <v>210.62628040243388</v>
      </c>
      <c r="O239" s="113">
        <f t="shared" si="54"/>
        <v>32.447411364078718</v>
      </c>
      <c r="Q239" s="121">
        <f t="shared" si="36"/>
        <v>0</v>
      </c>
      <c r="R239" s="121">
        <f t="shared" si="55"/>
        <v>0</v>
      </c>
      <c r="S239" s="121">
        <f t="shared" si="37"/>
        <v>0</v>
      </c>
      <c r="T239" s="121">
        <f t="shared" si="38"/>
        <v>0</v>
      </c>
      <c r="U239" s="121">
        <f t="shared" si="39"/>
        <v>0</v>
      </c>
      <c r="V239" s="121">
        <f t="shared" si="40"/>
        <v>1</v>
      </c>
      <c r="W239" s="121">
        <f t="shared" si="41"/>
        <v>0</v>
      </c>
      <c r="X239" s="121">
        <f t="shared" si="42"/>
        <v>0</v>
      </c>
      <c r="Y239" s="121">
        <f t="shared" si="43"/>
        <v>0</v>
      </c>
      <c r="Z239" s="121">
        <f t="shared" si="44"/>
        <v>0</v>
      </c>
      <c r="AA239" s="121">
        <f t="shared" si="45"/>
        <v>0</v>
      </c>
      <c r="AB239" s="121">
        <f t="shared" si="46"/>
        <v>3.8737499999999998</v>
      </c>
      <c r="AC239" s="121">
        <f t="shared" si="47"/>
        <v>3.8737499999999998</v>
      </c>
      <c r="AD239" s="121">
        <f t="shared" si="48"/>
        <v>1</v>
      </c>
      <c r="AF239" s="84">
        <f t="shared" si="56"/>
        <v>118.89667140151514</v>
      </c>
      <c r="AH239" s="124">
        <f t="shared" si="57"/>
        <v>31</v>
      </c>
      <c r="AI239" s="126">
        <f t="shared" si="49"/>
        <v>55</v>
      </c>
      <c r="AJ239" s="126">
        <f t="shared" si="50"/>
        <v>3.8737499999999998</v>
      </c>
      <c r="AK239" s="180">
        <f t="shared" si="51"/>
        <v>3.8737499999999998</v>
      </c>
      <c r="AM239" s="124">
        <f t="shared" si="58"/>
        <v>118.89667140151514</v>
      </c>
    </row>
    <row r="240" spans="1:39" s="84" customFormat="1" ht="15" x14ac:dyDescent="0.25">
      <c r="A240" s="85">
        <f t="shared" si="52"/>
        <v>32</v>
      </c>
      <c r="B240" s="85">
        <f t="shared" si="30"/>
        <v>1</v>
      </c>
      <c r="C240" s="84">
        <f t="shared" si="31"/>
        <v>40</v>
      </c>
      <c r="D240" s="84">
        <f>U17</f>
        <v>50</v>
      </c>
      <c r="F240" s="180">
        <f t="shared" si="32"/>
        <v>65</v>
      </c>
      <c r="G240" s="180"/>
      <c r="J240" s="113">
        <f t="shared" si="33"/>
        <v>8.0622577482985491</v>
      </c>
      <c r="K240" s="113">
        <f t="shared" si="34"/>
        <v>1.0513162194142187</v>
      </c>
      <c r="L240" s="113">
        <f t="shared" si="35"/>
        <v>3.8737499999999998</v>
      </c>
      <c r="N240" s="113">
        <f t="shared" si="53"/>
        <v>218.68853815073243</v>
      </c>
      <c r="O240" s="113">
        <f t="shared" si="54"/>
        <v>33.498727583492936</v>
      </c>
      <c r="Q240" s="121">
        <f t="shared" si="36"/>
        <v>0</v>
      </c>
      <c r="R240" s="121">
        <f t="shared" si="55"/>
        <v>0</v>
      </c>
      <c r="S240" s="121">
        <f t="shared" si="37"/>
        <v>0</v>
      </c>
      <c r="T240" s="121">
        <f t="shared" si="38"/>
        <v>0</v>
      </c>
      <c r="U240" s="121">
        <f t="shared" si="39"/>
        <v>0</v>
      </c>
      <c r="V240" s="121">
        <f t="shared" si="40"/>
        <v>1</v>
      </c>
      <c r="W240" s="121">
        <f t="shared" si="41"/>
        <v>0</v>
      </c>
      <c r="X240" s="121">
        <f t="shared" si="42"/>
        <v>0</v>
      </c>
      <c r="Y240" s="121">
        <f t="shared" si="43"/>
        <v>0</v>
      </c>
      <c r="Z240" s="121">
        <f t="shared" si="44"/>
        <v>0</v>
      </c>
      <c r="AA240" s="121">
        <f t="shared" si="45"/>
        <v>0</v>
      </c>
      <c r="AB240" s="121">
        <f t="shared" si="46"/>
        <v>3.8737499999999998</v>
      </c>
      <c r="AC240" s="121">
        <f t="shared" si="47"/>
        <v>3.8737499999999998</v>
      </c>
      <c r="AD240" s="121">
        <f t="shared" si="48"/>
        <v>1</v>
      </c>
      <c r="AF240" s="84">
        <f t="shared" si="56"/>
        <v>122.77042140151514</v>
      </c>
      <c r="AH240" s="124">
        <f t="shared" si="57"/>
        <v>32</v>
      </c>
      <c r="AI240" s="126">
        <f t="shared" si="49"/>
        <v>55</v>
      </c>
      <c r="AJ240" s="126">
        <f t="shared" si="50"/>
        <v>3.8737499999999998</v>
      </c>
      <c r="AK240" s="180">
        <f t="shared" si="51"/>
        <v>3.8737499999999998</v>
      </c>
      <c r="AM240" s="124">
        <f t="shared" si="58"/>
        <v>122.77042140151514</v>
      </c>
    </row>
    <row r="241" spans="1:39" s="84" customFormat="1" ht="15" x14ac:dyDescent="0.25">
      <c r="A241" s="85">
        <f t="shared" si="52"/>
        <v>33</v>
      </c>
      <c r="B241" s="85" t="str">
        <f t="shared" si="30"/>
        <v/>
      </c>
      <c r="C241" s="84">
        <f t="shared" si="31"/>
        <v>1</v>
      </c>
      <c r="D241" s="84">
        <f>U18</f>
        <v>0</v>
      </c>
      <c r="F241" s="180">
        <f t="shared" si="32"/>
        <v>66</v>
      </c>
      <c r="G241" s="180"/>
      <c r="J241" s="113">
        <f t="shared" si="33"/>
        <v>8.1240384046359608</v>
      </c>
      <c r="K241" s="113">
        <f t="shared" si="34"/>
        <v>1.0515086571166512</v>
      </c>
      <c r="L241" s="113">
        <f t="shared" si="35"/>
        <v>3.8737499999999998</v>
      </c>
      <c r="N241" s="113">
        <f t="shared" si="53"/>
        <v>226.81257655536839</v>
      </c>
      <c r="O241" s="113">
        <f t="shared" si="54"/>
        <v>34.550236240609586</v>
      </c>
      <c r="Q241" s="121">
        <f t="shared" si="36"/>
        <v>0</v>
      </c>
      <c r="R241" s="121">
        <f t="shared" si="55"/>
        <v>0</v>
      </c>
      <c r="S241" s="121">
        <f t="shared" si="37"/>
        <v>0</v>
      </c>
      <c r="T241" s="121">
        <f t="shared" si="38"/>
        <v>0</v>
      </c>
      <c r="U241" s="121">
        <f t="shared" si="39"/>
        <v>0</v>
      </c>
      <c r="V241" s="121">
        <f t="shared" si="40"/>
        <v>1</v>
      </c>
      <c r="W241" s="121">
        <f t="shared" si="41"/>
        <v>0</v>
      </c>
      <c r="X241" s="121">
        <f t="shared" si="42"/>
        <v>0</v>
      </c>
      <c r="Y241" s="121">
        <f t="shared" si="43"/>
        <v>0</v>
      </c>
      <c r="Z241" s="121">
        <f t="shared" si="44"/>
        <v>0</v>
      </c>
      <c r="AA241" s="121">
        <f t="shared" si="45"/>
        <v>0</v>
      </c>
      <c r="AB241" s="121">
        <f t="shared" si="46"/>
        <v>3.8737499999999998</v>
      </c>
      <c r="AC241" s="121">
        <f t="shared" si="47"/>
        <v>3.8737499999999998</v>
      </c>
      <c r="AD241" s="121">
        <f t="shared" si="48"/>
        <v>1</v>
      </c>
      <c r="AF241" s="84">
        <f t="shared" si="56"/>
        <v>126.64417140151514</v>
      </c>
      <c r="AH241" s="124">
        <f t="shared" si="57"/>
        <v>33</v>
      </c>
      <c r="AI241" s="126">
        <f t="shared" si="49"/>
        <v>55</v>
      </c>
      <c r="AJ241" s="126">
        <f t="shared" si="50"/>
        <v>3.8737499999999998</v>
      </c>
      <c r="AK241" s="180">
        <f t="shared" si="51"/>
        <v>3.8737499999999998</v>
      </c>
      <c r="AM241" s="124">
        <f t="shared" si="58"/>
        <v>126.64417140151514</v>
      </c>
    </row>
    <row r="242" spans="1:39" s="84" customFormat="1" ht="15" x14ac:dyDescent="0.25">
      <c r="A242" s="85">
        <f t="shared" si="52"/>
        <v>34</v>
      </c>
      <c r="B242" s="85" t="str">
        <f t="shared" si="30"/>
        <v/>
      </c>
      <c r="C242" s="84">
        <f t="shared" si="31"/>
        <v>1</v>
      </c>
      <c r="D242" s="84">
        <f>U19</f>
        <v>0</v>
      </c>
      <c r="F242" s="180">
        <f t="shared" si="32"/>
        <v>66</v>
      </c>
      <c r="G242" s="180"/>
      <c r="J242" s="113">
        <f t="shared" si="33"/>
        <v>8.1240384046359608</v>
      </c>
      <c r="K242" s="113">
        <f t="shared" si="34"/>
        <v>1.0515086571166512</v>
      </c>
      <c r="L242" s="113">
        <f t="shared" si="35"/>
        <v>3.8737499999999998</v>
      </c>
      <c r="N242" s="113">
        <f t="shared" si="53"/>
        <v>234.93661496000436</v>
      </c>
      <c r="O242" s="113">
        <f t="shared" si="54"/>
        <v>35.601744897726235</v>
      </c>
      <c r="Q242" s="121">
        <f t="shared" si="36"/>
        <v>0</v>
      </c>
      <c r="R242" s="121">
        <f t="shared" si="55"/>
        <v>0</v>
      </c>
      <c r="S242" s="121">
        <f t="shared" si="37"/>
        <v>0</v>
      </c>
      <c r="T242" s="121">
        <f t="shared" si="38"/>
        <v>0</v>
      </c>
      <c r="U242" s="121">
        <f t="shared" si="39"/>
        <v>0</v>
      </c>
      <c r="V242" s="121">
        <f t="shared" si="40"/>
        <v>1</v>
      </c>
      <c r="W242" s="121">
        <f t="shared" si="41"/>
        <v>0</v>
      </c>
      <c r="X242" s="121">
        <f t="shared" si="42"/>
        <v>0</v>
      </c>
      <c r="Y242" s="121">
        <f t="shared" si="43"/>
        <v>0</v>
      </c>
      <c r="Z242" s="121">
        <f t="shared" si="44"/>
        <v>0</v>
      </c>
      <c r="AA242" s="121">
        <f t="shared" si="45"/>
        <v>0</v>
      </c>
      <c r="AB242" s="121">
        <f t="shared" si="46"/>
        <v>3.8737499999999998</v>
      </c>
      <c r="AC242" s="121">
        <f t="shared" si="47"/>
        <v>3.8737499999999998</v>
      </c>
      <c r="AD242" s="121">
        <f t="shared" si="48"/>
        <v>1</v>
      </c>
      <c r="AF242" s="84">
        <f t="shared" si="56"/>
        <v>130.51792140151514</v>
      </c>
      <c r="AH242" s="124">
        <f t="shared" si="57"/>
        <v>34</v>
      </c>
      <c r="AI242" s="126">
        <f t="shared" si="49"/>
        <v>55</v>
      </c>
      <c r="AJ242" s="126">
        <f t="shared" si="50"/>
        <v>3.8737499999999998</v>
      </c>
      <c r="AK242" s="180">
        <f t="shared" si="51"/>
        <v>3.8737499999999998</v>
      </c>
      <c r="AM242" s="124">
        <f t="shared" si="58"/>
        <v>130.51792140151514</v>
      </c>
    </row>
    <row r="243" spans="1:39" s="84" customFormat="1" ht="15" x14ac:dyDescent="0.25">
      <c r="A243" s="85">
        <f t="shared" si="52"/>
        <v>35</v>
      </c>
      <c r="B243" s="85">
        <f t="shared" si="30"/>
        <v>1</v>
      </c>
      <c r="C243" s="84">
        <f t="shared" si="31"/>
        <v>36</v>
      </c>
      <c r="D243" s="84">
        <f>U20</f>
        <v>47</v>
      </c>
      <c r="F243" s="180">
        <f t="shared" si="32"/>
        <v>68</v>
      </c>
      <c r="G243" s="180"/>
      <c r="J243" s="113">
        <f t="shared" si="33"/>
        <v>8.2462112512353212</v>
      </c>
      <c r="K243" s="113">
        <f t="shared" si="34"/>
        <v>1.0518850383234355</v>
      </c>
      <c r="L243" s="113">
        <f t="shared" si="35"/>
        <v>3.8737499999999998</v>
      </c>
      <c r="N243" s="113">
        <f t="shared" si="53"/>
        <v>243.18282621123967</v>
      </c>
      <c r="O243" s="113">
        <f t="shared" si="54"/>
        <v>36.653629936049668</v>
      </c>
      <c r="Q243" s="121">
        <f t="shared" si="36"/>
        <v>0</v>
      </c>
      <c r="R243" s="121">
        <f t="shared" si="55"/>
        <v>0</v>
      </c>
      <c r="S243" s="121">
        <f t="shared" si="37"/>
        <v>0</v>
      </c>
      <c r="T243" s="121">
        <f t="shared" si="38"/>
        <v>0</v>
      </c>
      <c r="U243" s="121">
        <f t="shared" si="39"/>
        <v>0</v>
      </c>
      <c r="V243" s="121">
        <f t="shared" si="40"/>
        <v>1</v>
      </c>
      <c r="W243" s="121">
        <f t="shared" si="41"/>
        <v>0</v>
      </c>
      <c r="X243" s="121">
        <f t="shared" si="42"/>
        <v>0</v>
      </c>
      <c r="Y243" s="121">
        <f t="shared" si="43"/>
        <v>0</v>
      </c>
      <c r="Z243" s="121">
        <f t="shared" si="44"/>
        <v>0</v>
      </c>
      <c r="AA243" s="121">
        <f t="shared" si="45"/>
        <v>0</v>
      </c>
      <c r="AB243" s="121">
        <f t="shared" si="46"/>
        <v>3.8737499999999998</v>
      </c>
      <c r="AC243" s="121">
        <f t="shared" si="47"/>
        <v>3.8737499999999998</v>
      </c>
      <c r="AD243" s="121">
        <f t="shared" si="48"/>
        <v>1</v>
      </c>
      <c r="AF243" s="84">
        <f t="shared" si="56"/>
        <v>134.39167140151514</v>
      </c>
      <c r="AH243" s="124">
        <f t="shared" si="57"/>
        <v>35</v>
      </c>
      <c r="AI243" s="126">
        <f t="shared" si="49"/>
        <v>55</v>
      </c>
      <c r="AJ243" s="126">
        <f t="shared" si="50"/>
        <v>3.8737499999999998</v>
      </c>
      <c r="AK243" s="180">
        <f t="shared" si="51"/>
        <v>3.8737499999999998</v>
      </c>
      <c r="AM243" s="124">
        <f t="shared" si="58"/>
        <v>134.39167140151514</v>
      </c>
    </row>
    <row r="244" spans="1:39" s="84" customFormat="1" ht="15" x14ac:dyDescent="0.25">
      <c r="A244" s="85">
        <f t="shared" si="52"/>
        <v>36</v>
      </c>
      <c r="B244" s="85">
        <f t="shared" si="30"/>
        <v>1</v>
      </c>
      <c r="C244" s="84">
        <f t="shared" si="31"/>
        <v>49</v>
      </c>
      <c r="D244" s="84">
        <f>U21</f>
        <v>57</v>
      </c>
      <c r="F244" s="180">
        <f t="shared" si="32"/>
        <v>75</v>
      </c>
      <c r="G244" s="180"/>
      <c r="J244" s="113">
        <f t="shared" si="33"/>
        <v>8.6602540378443873</v>
      </c>
      <c r="K244" s="113">
        <f t="shared" si="34"/>
        <v>1.0531213060350297</v>
      </c>
      <c r="L244" s="113">
        <f t="shared" si="35"/>
        <v>3.8737499999999998</v>
      </c>
      <c r="N244" s="113">
        <f t="shared" si="53"/>
        <v>251.84308024908407</v>
      </c>
      <c r="O244" s="113">
        <f t="shared" si="54"/>
        <v>37.7067512420847</v>
      </c>
      <c r="Q244" s="121">
        <f t="shared" si="36"/>
        <v>0</v>
      </c>
      <c r="R244" s="121">
        <f t="shared" si="55"/>
        <v>0</v>
      </c>
      <c r="S244" s="121">
        <f t="shared" si="37"/>
        <v>0</v>
      </c>
      <c r="T244" s="121">
        <f t="shared" si="38"/>
        <v>0</v>
      </c>
      <c r="U244" s="121">
        <f t="shared" si="39"/>
        <v>0</v>
      </c>
      <c r="V244" s="121">
        <f t="shared" si="40"/>
        <v>1</v>
      </c>
      <c r="W244" s="121">
        <f t="shared" si="41"/>
        <v>0</v>
      </c>
      <c r="X244" s="121">
        <f t="shared" si="42"/>
        <v>0</v>
      </c>
      <c r="Y244" s="121">
        <f t="shared" si="43"/>
        <v>0</v>
      </c>
      <c r="Z244" s="121">
        <f t="shared" si="44"/>
        <v>0</v>
      </c>
      <c r="AA244" s="121">
        <f t="shared" si="45"/>
        <v>0</v>
      </c>
      <c r="AB244" s="121">
        <f t="shared" si="46"/>
        <v>3.8737499999999998</v>
      </c>
      <c r="AC244" s="121">
        <f t="shared" si="47"/>
        <v>3.8737499999999998</v>
      </c>
      <c r="AD244" s="121">
        <f t="shared" si="48"/>
        <v>1</v>
      </c>
      <c r="AF244" s="84">
        <f t="shared" si="56"/>
        <v>138.26542140151514</v>
      </c>
      <c r="AH244" s="124">
        <f t="shared" si="57"/>
        <v>36</v>
      </c>
      <c r="AI244" s="126">
        <f t="shared" si="49"/>
        <v>55</v>
      </c>
      <c r="AJ244" s="126">
        <f t="shared" si="50"/>
        <v>3.8737499999999998</v>
      </c>
      <c r="AK244" s="180">
        <f t="shared" si="51"/>
        <v>3.8737499999999998</v>
      </c>
      <c r="AM244" s="124">
        <f t="shared" si="58"/>
        <v>138.26542140151514</v>
      </c>
    </row>
    <row r="245" spans="1:39" s="84" customFormat="1" x14ac:dyDescent="0.2"/>
    <row r="246" spans="1:39" s="84" customFormat="1" x14ac:dyDescent="0.2"/>
    <row r="247" spans="1:39" s="84" customFormat="1" x14ac:dyDescent="0.2"/>
    <row r="248" spans="1:39" s="84" customFormat="1" x14ac:dyDescent="0.2"/>
    <row r="249" spans="1:39" s="84" customFormat="1" x14ac:dyDescent="0.2"/>
    <row r="250" spans="1:39" s="84" customFormat="1" x14ac:dyDescent="0.2">
      <c r="B250" s="99" t="s">
        <v>382</v>
      </c>
    </row>
    <row r="251" spans="1:39" s="84" customFormat="1" x14ac:dyDescent="0.2">
      <c r="I251" s="85" t="s">
        <v>386</v>
      </c>
      <c r="J251" s="99" t="s">
        <v>387</v>
      </c>
    </row>
    <row r="252" spans="1:39" s="84" customFormat="1" x14ac:dyDescent="0.2">
      <c r="C252" s="416" t="s">
        <v>446</v>
      </c>
      <c r="D252" s="417"/>
      <c r="E252" s="417"/>
      <c r="F252" s="417"/>
      <c r="G252" s="417"/>
      <c r="H252" s="418"/>
      <c r="I252" s="106">
        <v>1</v>
      </c>
      <c r="J252" s="143">
        <f>E168</f>
        <v>0.78030265341350902</v>
      </c>
    </row>
    <row r="253" spans="1:39" s="84" customFormat="1" x14ac:dyDescent="0.2">
      <c r="C253" s="416" t="s">
        <v>383</v>
      </c>
      <c r="D253" s="417"/>
      <c r="E253" s="417"/>
      <c r="F253" s="417"/>
      <c r="G253" s="417"/>
      <c r="H253" s="418"/>
      <c r="I253" s="106">
        <v>2</v>
      </c>
      <c r="J253" s="106">
        <f>K168</f>
        <v>0.99411154959163417</v>
      </c>
    </row>
    <row r="254" spans="1:39" s="84" customFormat="1" x14ac:dyDescent="0.2">
      <c r="C254" s="416" t="s">
        <v>384</v>
      </c>
      <c r="D254" s="417"/>
      <c r="E254" s="417"/>
      <c r="F254" s="417"/>
      <c r="G254" s="417"/>
      <c r="H254" s="418"/>
      <c r="I254" s="106">
        <v>3</v>
      </c>
      <c r="J254" s="143">
        <f>AH168</f>
        <v>0.98473494158225339</v>
      </c>
    </row>
    <row r="255" spans="1:39" s="84" customFormat="1" x14ac:dyDescent="0.2"/>
    <row r="256" spans="1:39" s="84" customFormat="1" x14ac:dyDescent="0.2">
      <c r="C256" s="416" t="s">
        <v>368</v>
      </c>
      <c r="D256" s="417"/>
      <c r="E256" s="417"/>
      <c r="F256" s="417"/>
      <c r="G256" s="417"/>
      <c r="H256" s="418"/>
      <c r="I256" s="98">
        <f>I142</f>
        <v>3</v>
      </c>
    </row>
    <row r="257" spans="1:11" s="84" customFormat="1" x14ac:dyDescent="0.2"/>
    <row r="258" spans="1:11" s="84" customFormat="1" ht="24" customHeight="1" x14ac:dyDescent="0.2">
      <c r="C258" s="444" t="s">
        <v>385</v>
      </c>
      <c r="D258" s="445"/>
      <c r="E258" s="445"/>
      <c r="F258" s="445"/>
      <c r="G258" s="445"/>
      <c r="H258" s="446"/>
      <c r="I258" s="129">
        <f>VLOOKUP(I256,I252:J254,2,FALSE)</f>
        <v>0.98473494158225339</v>
      </c>
    </row>
    <row r="259" spans="1:11" s="84" customFormat="1" x14ac:dyDescent="0.2"/>
    <row r="260" spans="1:11" s="84" customFormat="1" x14ac:dyDescent="0.2"/>
    <row r="261" spans="1:11" s="84" customFormat="1" x14ac:dyDescent="0.2">
      <c r="A261" s="99" t="s">
        <v>388</v>
      </c>
    </row>
    <row r="262" spans="1:11" s="84" customFormat="1" x14ac:dyDescent="0.2">
      <c r="B262" s="453" t="s">
        <v>171</v>
      </c>
      <c r="C262" s="453"/>
      <c r="D262" s="453"/>
      <c r="E262" s="4"/>
      <c r="F262" s="4"/>
      <c r="G262" s="4"/>
      <c r="H262" s="4"/>
      <c r="I262" s="4"/>
      <c r="J262" s="81"/>
      <c r="K262" s="81"/>
    </row>
    <row r="263" spans="1:11" s="84" customFormat="1" x14ac:dyDescent="0.2">
      <c r="B263" s="453" t="s">
        <v>172</v>
      </c>
      <c r="C263" s="453"/>
      <c r="D263" s="4">
        <f>(MAX(Data!E161:E165)-MIN(Data!E161:E165))</f>
        <v>8</v>
      </c>
      <c r="E263" s="4" t="s">
        <v>125</v>
      </c>
      <c r="F263" s="4"/>
      <c r="G263" s="4"/>
      <c r="H263" s="4"/>
      <c r="I263" s="4"/>
      <c r="J263" s="81"/>
      <c r="K263" s="81"/>
    </row>
    <row r="264" spans="1:11" s="84" customFormat="1" x14ac:dyDescent="0.2">
      <c r="B264" s="453" t="s">
        <v>173</v>
      </c>
      <c r="C264" s="453"/>
      <c r="D264" s="4">
        <f>(MAX(Data!E167:E171)-MIN(Data!E167:E171))</f>
        <v>6</v>
      </c>
      <c r="E264" s="4" t="s">
        <v>125</v>
      </c>
      <c r="F264" s="4"/>
      <c r="G264" s="4"/>
      <c r="H264" s="4"/>
      <c r="I264" s="4"/>
      <c r="J264" s="81"/>
      <c r="K264" s="81"/>
    </row>
    <row r="265" spans="1:11" s="84" customFormat="1" x14ac:dyDescent="0.2">
      <c r="B265" s="453" t="s">
        <v>174</v>
      </c>
      <c r="C265" s="453"/>
      <c r="D265" s="4">
        <f>MAX(Data!E175:E179)-MIN(Data!E175:E179)</f>
        <v>13</v>
      </c>
      <c r="E265" s="4" t="s">
        <v>125</v>
      </c>
      <c r="F265" s="4"/>
      <c r="G265" s="4"/>
      <c r="H265" s="4"/>
      <c r="I265" s="4"/>
      <c r="J265" s="81"/>
      <c r="K265" s="81"/>
    </row>
    <row r="266" spans="1:11" s="84" customFormat="1" x14ac:dyDescent="0.2">
      <c r="B266" s="453" t="s">
        <v>175</v>
      </c>
      <c r="C266" s="453"/>
      <c r="D266" s="4">
        <f>MAX(Data!E181:E185)-MIN(Data!E181:E185)</f>
        <v>17</v>
      </c>
      <c r="E266" s="4" t="s">
        <v>125</v>
      </c>
      <c r="F266" s="4"/>
      <c r="G266" s="4"/>
      <c r="H266" s="4"/>
      <c r="I266" s="4"/>
      <c r="J266" s="81"/>
      <c r="K266" s="81"/>
    </row>
    <row r="267" spans="1:11" s="84" customFormat="1" x14ac:dyDescent="0.2">
      <c r="B267" s="453" t="s">
        <v>176</v>
      </c>
      <c r="C267" s="453"/>
      <c r="D267" s="4">
        <f>MAX(Data!E189:E193)-MIN(Data!E189:E193)</f>
        <v>7</v>
      </c>
      <c r="E267" s="4" t="s">
        <v>125</v>
      </c>
      <c r="F267" s="4"/>
      <c r="G267" s="4"/>
      <c r="H267" s="4"/>
      <c r="I267" s="4"/>
      <c r="J267" s="81"/>
      <c r="K267" s="81"/>
    </row>
    <row r="268" spans="1:11" s="84" customFormat="1" x14ac:dyDescent="0.2">
      <c r="B268" s="453" t="s">
        <v>177</v>
      </c>
      <c r="C268" s="453"/>
      <c r="D268" s="4">
        <f>MAX(Data!E195:E199)-MIN(Data!E195:E199)</f>
        <v>13</v>
      </c>
      <c r="E268" s="4" t="s">
        <v>125</v>
      </c>
      <c r="F268" s="4"/>
      <c r="G268" s="4"/>
      <c r="H268" s="4"/>
      <c r="I268" s="4"/>
      <c r="J268" s="81"/>
      <c r="K268" s="81"/>
    </row>
    <row r="269" spans="1:11" s="84" customFormat="1" x14ac:dyDescent="0.2">
      <c r="B269" s="453" t="s">
        <v>178</v>
      </c>
      <c r="C269" s="453"/>
      <c r="D269" s="4">
        <f>MAX(Data!E203:E207)-MIN(Data!E203:E207)</f>
        <v>17</v>
      </c>
      <c r="E269" s="4" t="s">
        <v>125</v>
      </c>
      <c r="F269" s="4"/>
      <c r="G269" s="4"/>
      <c r="H269" s="4"/>
      <c r="I269" s="4"/>
      <c r="J269" s="81"/>
      <c r="K269" s="81"/>
    </row>
    <row r="270" spans="1:11" s="84" customFormat="1" x14ac:dyDescent="0.2">
      <c r="B270" s="453" t="s">
        <v>179</v>
      </c>
      <c r="C270" s="453"/>
      <c r="D270" s="4">
        <f>MAX(Data!E209:E213)-MIN(Data!E209:E213)</f>
        <v>13</v>
      </c>
      <c r="E270" s="4" t="s">
        <v>125</v>
      </c>
      <c r="F270" s="4"/>
      <c r="G270" s="4"/>
      <c r="H270" s="4"/>
      <c r="I270" s="4"/>
      <c r="J270" s="81"/>
      <c r="K270" s="81"/>
    </row>
    <row r="271" spans="1:11" s="84" customFormat="1" x14ac:dyDescent="0.2">
      <c r="B271" s="453" t="s">
        <v>180</v>
      </c>
      <c r="C271" s="453"/>
      <c r="D271" s="4">
        <f>MAX(Data!E217:E221)-MIN(Data!E217:E221)</f>
        <v>10</v>
      </c>
      <c r="E271" s="4" t="s">
        <v>125</v>
      </c>
      <c r="F271" s="4"/>
      <c r="G271" s="4"/>
      <c r="H271" s="4"/>
      <c r="I271" s="4"/>
      <c r="J271" s="81"/>
      <c r="K271" s="81"/>
    </row>
    <row r="272" spans="1:11" s="84" customFormat="1" x14ac:dyDescent="0.2">
      <c r="B272" s="453" t="s">
        <v>181</v>
      </c>
      <c r="C272" s="453"/>
      <c r="D272" s="4">
        <f>MAX(Data!E223:E227)-MIN(Data!E223:E227)</f>
        <v>13</v>
      </c>
      <c r="E272" s="4" t="s">
        <v>125</v>
      </c>
      <c r="F272" s="4"/>
      <c r="G272" s="4"/>
      <c r="H272" s="4"/>
      <c r="I272" s="4"/>
      <c r="J272" s="81"/>
      <c r="K272" s="81"/>
    </row>
    <row r="273" spans="1:12" x14ac:dyDescent="0.2">
      <c r="B273" s="453" t="s">
        <v>182</v>
      </c>
      <c r="C273" s="453"/>
      <c r="D273" s="4">
        <f>MAX(Data!E231:E235)-MIN(Data!E231:E235)</f>
        <v>8</v>
      </c>
      <c r="E273" s="4" t="s">
        <v>125</v>
      </c>
      <c r="J273" s="81"/>
      <c r="K273" s="81"/>
    </row>
    <row r="274" spans="1:12" s="84" customFormat="1" x14ac:dyDescent="0.2">
      <c r="B274" s="453" t="s">
        <v>182</v>
      </c>
      <c r="C274" s="453"/>
      <c r="D274" s="4">
        <f>MAX(Data!E237:E241)-MIN(Data!E237:E241)</f>
        <v>10</v>
      </c>
      <c r="E274" s="4" t="s">
        <v>125</v>
      </c>
      <c r="F274" s="4"/>
      <c r="G274" s="4"/>
      <c r="H274" s="4"/>
      <c r="I274" s="4"/>
      <c r="J274" s="81"/>
      <c r="K274" s="81"/>
    </row>
    <row r="275" spans="1:12" s="84" customForma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2" s="84" customFormat="1" x14ac:dyDescent="0.2">
      <c r="B276" s="453" t="s">
        <v>183</v>
      </c>
      <c r="C276" s="453"/>
      <c r="D276" s="4">
        <f>MAX(D263:D274)</f>
        <v>17</v>
      </c>
      <c r="E276" s="4" t="s">
        <v>125</v>
      </c>
      <c r="F276" s="4"/>
      <c r="G276" s="99"/>
      <c r="H276" s="4"/>
      <c r="I276" s="4"/>
      <c r="J276" s="4"/>
      <c r="K276" s="4"/>
    </row>
    <row r="277" spans="1:12" s="84" customForma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2" s="84" customFormat="1" x14ac:dyDescent="0.2">
      <c r="B278" s="453" t="s">
        <v>185</v>
      </c>
      <c r="C278" s="453"/>
      <c r="D278" s="4">
        <f>MAX(Data!E163,Data!E169,Data!E177,Data!E183,Data!E191,Data!E197,Data!E205,Data!E211,Data!E219,Data!E225,Data!E233,Data!E239)</f>
        <v>0</v>
      </c>
      <c r="E278" s="4" t="s">
        <v>125</v>
      </c>
      <c r="F278" s="4"/>
      <c r="G278" s="4"/>
      <c r="H278" s="4"/>
      <c r="I278" s="4"/>
      <c r="J278" s="4"/>
      <c r="K278" s="4"/>
    </row>
    <row r="279" spans="1:12" s="84" customFormat="1" x14ac:dyDescent="0.2">
      <c r="B279" s="453" t="s">
        <v>186</v>
      </c>
      <c r="C279" s="453"/>
      <c r="D279" s="4">
        <f>MIN(Data!E163,Data!E169,Data!E177,Data!E183,Data!E191,Data!E197,Data!E205,Data!E211,Data!E219,Data!E225,Data!E233,Data!E239)</f>
        <v>0</v>
      </c>
      <c r="E279" s="4" t="s">
        <v>125</v>
      </c>
      <c r="F279" s="130"/>
      <c r="G279" s="130"/>
      <c r="H279" s="130"/>
      <c r="I279" s="130"/>
      <c r="J279" s="130"/>
      <c r="K279" s="4"/>
    </row>
    <row r="280" spans="1:12" s="84" customFormat="1" ht="48.75" customHeight="1" x14ac:dyDescent="0.2">
      <c r="B280" s="454" t="s">
        <v>184</v>
      </c>
      <c r="C280" s="454"/>
      <c r="D280" s="4">
        <f>D278-D279</f>
        <v>0</v>
      </c>
      <c r="E280" s="4" t="s">
        <v>125</v>
      </c>
      <c r="F280" s="4"/>
      <c r="G280" s="99"/>
      <c r="H280" s="4"/>
      <c r="I280" s="4"/>
      <c r="J280" s="4"/>
      <c r="K280" s="4"/>
    </row>
    <row r="281" spans="1:12" s="84" customFormat="1" x14ac:dyDescent="0.2"/>
    <row r="283" spans="1:12" ht="15.75" x14ac:dyDescent="0.25">
      <c r="A283" s="87">
        <v>3</v>
      </c>
      <c r="B283" s="88" t="s">
        <v>275</v>
      </c>
    </row>
    <row r="285" spans="1:12" s="84" customFormat="1" x14ac:dyDescent="0.2"/>
    <row r="286" spans="1:12" s="84" customFormat="1" x14ac:dyDescent="0.2"/>
    <row r="287" spans="1:12" s="84" customFormat="1" x14ac:dyDescent="0.2">
      <c r="L287" s="81"/>
    </row>
    <row r="288" spans="1:12" s="84" customFormat="1" x14ac:dyDescent="0.2">
      <c r="L288" s="81"/>
    </row>
    <row r="289" spans="2:15" s="84" customFormat="1" x14ac:dyDescent="0.2">
      <c r="L289" s="81"/>
    </row>
    <row r="290" spans="2:15" s="84" customFormat="1" x14ac:dyDescent="0.2">
      <c r="L290" s="81"/>
    </row>
    <row r="291" spans="2:15" s="84" customFormat="1" x14ac:dyDescent="0.2">
      <c r="B291" s="99" t="s">
        <v>389</v>
      </c>
      <c r="L291" s="81"/>
    </row>
    <row r="292" spans="2:15" x14ac:dyDescent="0.2">
      <c r="C292" s="99" t="s">
        <v>390</v>
      </c>
    </row>
    <row r="293" spans="2:15" s="84" customFormat="1" x14ac:dyDescent="0.2">
      <c r="C293" s="99" t="s">
        <v>391</v>
      </c>
      <c r="L293" s="81"/>
    </row>
    <row r="294" spans="2:15" s="84" customFormat="1" x14ac:dyDescent="0.2">
      <c r="L294" s="81"/>
    </row>
    <row r="295" spans="2:15" s="84" customFormat="1" ht="15" x14ac:dyDescent="0.25">
      <c r="B295" s="86" t="s">
        <v>310</v>
      </c>
      <c r="F295" s="99"/>
      <c r="L295" s="81"/>
    </row>
    <row r="296" spans="2:15" s="84" customFormat="1" x14ac:dyDescent="0.2">
      <c r="C296" s="429" t="s">
        <v>398</v>
      </c>
      <c r="D296" s="429"/>
      <c r="E296" s="429"/>
      <c r="F296" s="429"/>
      <c r="G296" s="429"/>
      <c r="H296" s="84">
        <f>I63</f>
        <v>5</v>
      </c>
      <c r="L296" s="81"/>
    </row>
    <row r="297" spans="2:15" s="84" customFormat="1" ht="14.25" customHeight="1" x14ac:dyDescent="0.2">
      <c r="C297" s="429" t="s">
        <v>345</v>
      </c>
      <c r="D297" s="429" t="str">
        <f t="shared" ref="D297:D315" si="59">C40</f>
        <v>Location A:</v>
      </c>
      <c r="E297" s="429"/>
      <c r="F297" s="428" t="s">
        <v>396</v>
      </c>
      <c r="G297" s="428" t="s">
        <v>397</v>
      </c>
      <c r="H297" s="428" t="s">
        <v>393</v>
      </c>
      <c r="I297" s="428" t="s">
        <v>395</v>
      </c>
      <c r="L297" s="81"/>
    </row>
    <row r="298" spans="2:15" s="84" customFormat="1" ht="17.25" customHeight="1" x14ac:dyDescent="0.3">
      <c r="B298" s="428" t="s">
        <v>394</v>
      </c>
      <c r="C298" s="429"/>
      <c r="D298" s="429" t="str">
        <f t="shared" si="59"/>
        <v>Test 1:</v>
      </c>
      <c r="E298" s="429"/>
      <c r="F298" s="428"/>
      <c r="G298" s="428"/>
      <c r="H298" s="428"/>
      <c r="I298" s="428"/>
      <c r="L298" s="439" t="s">
        <v>392</v>
      </c>
      <c r="M298" s="439"/>
      <c r="N298" s="439"/>
      <c r="O298" s="84">
        <f>O302/O303</f>
        <v>0.9254598257502421</v>
      </c>
    </row>
    <row r="299" spans="2:15" s="84" customFormat="1" ht="15" x14ac:dyDescent="0.25">
      <c r="B299" s="428"/>
      <c r="C299" s="429"/>
      <c r="D299" s="85" t="str">
        <f t="shared" si="59"/>
        <v>Emitter #</v>
      </c>
      <c r="E299" s="85" t="str">
        <f t="shared" ref="E299:E315" si="60">D42</f>
        <v>mL</v>
      </c>
      <c r="F299" s="100"/>
      <c r="G299" s="428"/>
      <c r="H299" s="428"/>
      <c r="I299" s="428"/>
      <c r="L299" s="438" t="s">
        <v>364</v>
      </c>
      <c r="M299" s="438"/>
      <c r="N299" s="438"/>
      <c r="O299" s="84">
        <f>SUM(H300:H315)</f>
        <v>16</v>
      </c>
    </row>
    <row r="300" spans="2:15" ht="15" x14ac:dyDescent="0.25">
      <c r="B300" s="85">
        <f>IF(F300&gt;=0,1,0)</f>
        <v>1</v>
      </c>
      <c r="C300" s="85">
        <f t="shared" ref="C300:C315" si="61">RANK(E300,$E$300:$E$315,1)</f>
        <v>2</v>
      </c>
      <c r="D300" s="85" t="str">
        <f t="shared" si="59"/>
        <v>#1</v>
      </c>
      <c r="E300" s="85">
        <f t="shared" si="60"/>
        <v>300</v>
      </c>
      <c r="F300" s="85">
        <f t="shared" ref="F300:F315" si="62">IF(ISERROR(VLOOKUP(ROW(F300)-ROW($F$299),$C$300:$E$315,3,FALSE)),F299,VLOOKUP(ROW(F300)-ROW($F$299),$C$300:$E$315,3,FALSE))</f>
        <v>295</v>
      </c>
      <c r="G300" s="4">
        <f t="shared" ref="G300:G315" si="63">F300*60/($H$296*1000)</f>
        <v>3.54</v>
      </c>
      <c r="H300" s="85">
        <f t="shared" ref="H300:H315" si="64">IF(F300&gt;0,1,0)</f>
        <v>1</v>
      </c>
      <c r="I300" s="4">
        <f>G300</f>
        <v>3.54</v>
      </c>
      <c r="L300" s="438" t="s">
        <v>365</v>
      </c>
      <c r="M300" s="438"/>
      <c r="N300" s="438"/>
      <c r="O300" s="4">
        <f>INT(O299/4)</f>
        <v>4</v>
      </c>
    </row>
    <row r="301" spans="2:15" ht="15" x14ac:dyDescent="0.25">
      <c r="B301" s="85">
        <f>IF(H301&gt;=0,B300+1,0)</f>
        <v>2</v>
      </c>
      <c r="C301" s="85">
        <f t="shared" si="61"/>
        <v>9</v>
      </c>
      <c r="D301" s="85" t="str">
        <f t="shared" si="59"/>
        <v>#2</v>
      </c>
      <c r="E301" s="85">
        <f t="shared" si="60"/>
        <v>325</v>
      </c>
      <c r="F301" s="178">
        <f t="shared" si="62"/>
        <v>300</v>
      </c>
      <c r="G301" s="99">
        <f t="shared" si="63"/>
        <v>3.6</v>
      </c>
      <c r="H301" s="85">
        <f t="shared" si="64"/>
        <v>1</v>
      </c>
      <c r="I301" s="99">
        <f t="shared" ref="I301:I315" si="65">I300+G301</f>
        <v>7.1400000000000006</v>
      </c>
      <c r="L301" s="438" t="s">
        <v>374</v>
      </c>
      <c r="M301" s="438"/>
      <c r="N301" s="438"/>
      <c r="O301" s="4">
        <f>VLOOKUP(O300,B300:I315,8,FALSE)</f>
        <v>14.34</v>
      </c>
    </row>
    <row r="302" spans="2:15" ht="15" x14ac:dyDescent="0.25">
      <c r="B302" s="322">
        <f t="shared" ref="B302:B315" si="66">IF(H302&gt;=0,B301+1,0)</f>
        <v>3</v>
      </c>
      <c r="C302" s="85">
        <f t="shared" si="61"/>
        <v>12</v>
      </c>
      <c r="D302" s="85" t="str">
        <f t="shared" si="59"/>
        <v>#3</v>
      </c>
      <c r="E302" s="85">
        <f t="shared" si="60"/>
        <v>330</v>
      </c>
      <c r="F302" s="178">
        <f t="shared" si="62"/>
        <v>300</v>
      </c>
      <c r="G302" s="99">
        <f t="shared" si="63"/>
        <v>3.6</v>
      </c>
      <c r="H302" s="85">
        <f t="shared" si="64"/>
        <v>1</v>
      </c>
      <c r="I302" s="99">
        <f t="shared" si="65"/>
        <v>10.74</v>
      </c>
      <c r="L302" s="438" t="s">
        <v>370</v>
      </c>
      <c r="M302" s="438"/>
      <c r="N302" s="438"/>
      <c r="O302" s="4">
        <f>O301/O300</f>
        <v>3.585</v>
      </c>
    </row>
    <row r="303" spans="2:15" ht="15" x14ac:dyDescent="0.25">
      <c r="B303" s="322">
        <f t="shared" si="66"/>
        <v>4</v>
      </c>
      <c r="C303" s="85">
        <f t="shared" si="61"/>
        <v>5</v>
      </c>
      <c r="D303" s="85" t="str">
        <f t="shared" si="59"/>
        <v>#4</v>
      </c>
      <c r="E303" s="85">
        <f t="shared" si="60"/>
        <v>305</v>
      </c>
      <c r="F303" s="178">
        <f t="shared" si="62"/>
        <v>300</v>
      </c>
      <c r="G303" s="99">
        <f t="shared" si="63"/>
        <v>3.6</v>
      </c>
      <c r="H303" s="85">
        <f t="shared" si="64"/>
        <v>1</v>
      </c>
      <c r="I303" s="99">
        <f t="shared" si="65"/>
        <v>14.34</v>
      </c>
      <c r="L303" s="438" t="s">
        <v>371</v>
      </c>
      <c r="M303" s="438"/>
      <c r="N303" s="438"/>
      <c r="O303" s="4">
        <f>AVERAGE(G300:G315)</f>
        <v>3.8737499999999994</v>
      </c>
    </row>
    <row r="304" spans="2:15" s="84" customFormat="1" x14ac:dyDescent="0.2">
      <c r="B304" s="322">
        <f t="shared" si="66"/>
        <v>5</v>
      </c>
      <c r="C304" s="85">
        <f t="shared" si="61"/>
        <v>9</v>
      </c>
      <c r="D304" s="85" t="str">
        <f t="shared" si="59"/>
        <v>#5</v>
      </c>
      <c r="E304" s="85">
        <f t="shared" si="60"/>
        <v>325</v>
      </c>
      <c r="F304" s="178">
        <f t="shared" si="62"/>
        <v>305</v>
      </c>
      <c r="G304" s="99">
        <f t="shared" si="63"/>
        <v>3.66</v>
      </c>
      <c r="H304" s="85">
        <f t="shared" si="64"/>
        <v>1</v>
      </c>
      <c r="I304" s="99">
        <f t="shared" si="65"/>
        <v>18</v>
      </c>
      <c r="L304" s="4"/>
    </row>
    <row r="305" spans="2:12" s="84" customFormat="1" x14ac:dyDescent="0.2">
      <c r="B305" s="322">
        <f t="shared" si="66"/>
        <v>6</v>
      </c>
      <c r="C305" s="85">
        <f t="shared" si="61"/>
        <v>13</v>
      </c>
      <c r="D305" s="85" t="str">
        <f t="shared" si="59"/>
        <v>#6</v>
      </c>
      <c r="E305" s="85">
        <f t="shared" si="60"/>
        <v>335</v>
      </c>
      <c r="F305" s="178">
        <f t="shared" si="62"/>
        <v>310</v>
      </c>
      <c r="G305" s="99">
        <f t="shared" si="63"/>
        <v>3.72</v>
      </c>
      <c r="H305" s="85">
        <f t="shared" si="64"/>
        <v>1</v>
      </c>
      <c r="I305" s="99">
        <f t="shared" si="65"/>
        <v>21.72</v>
      </c>
      <c r="L305" s="4"/>
    </row>
    <row r="306" spans="2:12" s="84" customFormat="1" x14ac:dyDescent="0.2">
      <c r="B306" s="322">
        <f t="shared" si="66"/>
        <v>7</v>
      </c>
      <c r="C306" s="85">
        <f t="shared" si="61"/>
        <v>1</v>
      </c>
      <c r="D306" s="85" t="str">
        <f t="shared" si="59"/>
        <v>#7</v>
      </c>
      <c r="E306" s="85">
        <f t="shared" si="60"/>
        <v>295</v>
      </c>
      <c r="F306" s="178">
        <f t="shared" si="62"/>
        <v>315</v>
      </c>
      <c r="G306" s="99">
        <f t="shared" si="63"/>
        <v>3.78</v>
      </c>
      <c r="H306" s="85">
        <f t="shared" si="64"/>
        <v>1</v>
      </c>
      <c r="I306" s="99">
        <f t="shared" si="65"/>
        <v>25.5</v>
      </c>
      <c r="K306" s="4"/>
      <c r="L306" s="4"/>
    </row>
    <row r="307" spans="2:12" s="84" customFormat="1" x14ac:dyDescent="0.2">
      <c r="B307" s="322">
        <f t="shared" si="66"/>
        <v>8</v>
      </c>
      <c r="C307" s="85">
        <f t="shared" si="61"/>
        <v>15</v>
      </c>
      <c r="D307" s="85" t="str">
        <f t="shared" si="59"/>
        <v>#8</v>
      </c>
      <c r="E307" s="85">
        <f t="shared" si="60"/>
        <v>350</v>
      </c>
      <c r="F307" s="178">
        <f t="shared" si="62"/>
        <v>315</v>
      </c>
      <c r="G307" s="99">
        <f t="shared" si="63"/>
        <v>3.78</v>
      </c>
      <c r="H307" s="85">
        <f t="shared" si="64"/>
        <v>1</v>
      </c>
      <c r="I307" s="99">
        <f t="shared" si="65"/>
        <v>29.28</v>
      </c>
    </row>
    <row r="308" spans="2:12" s="84" customFormat="1" x14ac:dyDescent="0.2">
      <c r="B308" s="322">
        <f t="shared" si="66"/>
        <v>9</v>
      </c>
      <c r="C308" s="85">
        <f t="shared" si="61"/>
        <v>13</v>
      </c>
      <c r="D308" s="85" t="str">
        <f t="shared" si="59"/>
        <v>#9</v>
      </c>
      <c r="E308" s="85">
        <f t="shared" si="60"/>
        <v>335</v>
      </c>
      <c r="F308" s="178">
        <f t="shared" si="62"/>
        <v>325</v>
      </c>
      <c r="G308" s="99">
        <f t="shared" si="63"/>
        <v>3.9</v>
      </c>
      <c r="H308" s="85">
        <f t="shared" si="64"/>
        <v>1</v>
      </c>
      <c r="I308" s="99">
        <f t="shared" si="65"/>
        <v>33.18</v>
      </c>
    </row>
    <row r="309" spans="2:12" s="84" customFormat="1" x14ac:dyDescent="0.2">
      <c r="B309" s="322">
        <f t="shared" si="66"/>
        <v>10</v>
      </c>
      <c r="C309" s="85">
        <f t="shared" si="61"/>
        <v>9</v>
      </c>
      <c r="D309" s="85" t="str">
        <f t="shared" si="59"/>
        <v>#10</v>
      </c>
      <c r="E309" s="85">
        <f t="shared" si="60"/>
        <v>325</v>
      </c>
      <c r="F309" s="178">
        <f t="shared" si="62"/>
        <v>325</v>
      </c>
      <c r="G309" s="99">
        <f t="shared" si="63"/>
        <v>3.9</v>
      </c>
      <c r="H309" s="85">
        <f t="shared" si="64"/>
        <v>1</v>
      </c>
      <c r="I309" s="99">
        <f t="shared" si="65"/>
        <v>37.08</v>
      </c>
    </row>
    <row r="310" spans="2:12" s="84" customFormat="1" x14ac:dyDescent="0.2">
      <c r="B310" s="322">
        <f t="shared" si="66"/>
        <v>11</v>
      </c>
      <c r="C310" s="85">
        <f t="shared" si="61"/>
        <v>7</v>
      </c>
      <c r="D310" s="85" t="str">
        <f t="shared" si="59"/>
        <v>#11</v>
      </c>
      <c r="E310" s="85">
        <f t="shared" si="60"/>
        <v>315</v>
      </c>
      <c r="F310" s="178">
        <f t="shared" si="62"/>
        <v>325</v>
      </c>
      <c r="G310" s="99">
        <f t="shared" si="63"/>
        <v>3.9</v>
      </c>
      <c r="H310" s="85">
        <f t="shared" si="64"/>
        <v>1</v>
      </c>
      <c r="I310" s="99">
        <f t="shared" si="65"/>
        <v>40.98</v>
      </c>
    </row>
    <row r="311" spans="2:12" s="84" customFormat="1" x14ac:dyDescent="0.2">
      <c r="B311" s="322">
        <f t="shared" si="66"/>
        <v>12</v>
      </c>
      <c r="C311" s="85">
        <f t="shared" si="61"/>
        <v>2</v>
      </c>
      <c r="D311" s="85" t="str">
        <f t="shared" si="59"/>
        <v>#12</v>
      </c>
      <c r="E311" s="85">
        <f t="shared" si="60"/>
        <v>300</v>
      </c>
      <c r="F311" s="178">
        <f t="shared" si="62"/>
        <v>330</v>
      </c>
      <c r="G311" s="99">
        <f t="shared" si="63"/>
        <v>3.96</v>
      </c>
      <c r="H311" s="85">
        <f t="shared" si="64"/>
        <v>1</v>
      </c>
      <c r="I311" s="99">
        <f t="shared" si="65"/>
        <v>44.94</v>
      </c>
    </row>
    <row r="312" spans="2:12" s="84" customFormat="1" x14ac:dyDescent="0.2">
      <c r="B312" s="322">
        <f t="shared" si="66"/>
        <v>13</v>
      </c>
      <c r="C312" s="85">
        <f t="shared" si="61"/>
        <v>7</v>
      </c>
      <c r="D312" s="85" t="str">
        <f t="shared" si="59"/>
        <v>#13</v>
      </c>
      <c r="E312" s="85">
        <f t="shared" si="60"/>
        <v>315</v>
      </c>
      <c r="F312" s="178">
        <f t="shared" si="62"/>
        <v>335</v>
      </c>
      <c r="G312" s="99">
        <f t="shared" si="63"/>
        <v>4.0199999999999996</v>
      </c>
      <c r="H312" s="85">
        <f t="shared" si="64"/>
        <v>1</v>
      </c>
      <c r="I312" s="99">
        <f t="shared" si="65"/>
        <v>48.959999999999994</v>
      </c>
    </row>
    <row r="313" spans="2:12" s="84" customFormat="1" x14ac:dyDescent="0.2">
      <c r="B313" s="322">
        <f t="shared" si="66"/>
        <v>14</v>
      </c>
      <c r="C313" s="85">
        <f t="shared" si="61"/>
        <v>16</v>
      </c>
      <c r="D313" s="85" t="str">
        <f t="shared" si="59"/>
        <v>#14</v>
      </c>
      <c r="E313" s="85">
        <f t="shared" si="60"/>
        <v>400</v>
      </c>
      <c r="F313" s="178">
        <f t="shared" si="62"/>
        <v>335</v>
      </c>
      <c r="G313" s="99">
        <f t="shared" si="63"/>
        <v>4.0199999999999996</v>
      </c>
      <c r="H313" s="85">
        <f t="shared" si="64"/>
        <v>1</v>
      </c>
      <c r="I313" s="99">
        <f t="shared" si="65"/>
        <v>52.97999999999999</v>
      </c>
    </row>
    <row r="314" spans="2:12" s="84" customFormat="1" x14ac:dyDescent="0.2">
      <c r="B314" s="322">
        <f t="shared" si="66"/>
        <v>15</v>
      </c>
      <c r="C314" s="85">
        <f t="shared" si="61"/>
        <v>6</v>
      </c>
      <c r="D314" s="85" t="str">
        <f t="shared" si="59"/>
        <v>#15</v>
      </c>
      <c r="E314" s="85">
        <f t="shared" si="60"/>
        <v>310</v>
      </c>
      <c r="F314" s="178">
        <f t="shared" si="62"/>
        <v>350</v>
      </c>
      <c r="G314" s="99">
        <f t="shared" si="63"/>
        <v>4.2</v>
      </c>
      <c r="H314" s="85">
        <f t="shared" si="64"/>
        <v>1</v>
      </c>
      <c r="I314" s="99">
        <f t="shared" si="65"/>
        <v>57.179999999999993</v>
      </c>
    </row>
    <row r="315" spans="2:12" s="84" customFormat="1" x14ac:dyDescent="0.2">
      <c r="B315" s="322">
        <f t="shared" si="66"/>
        <v>16</v>
      </c>
      <c r="C315" s="85">
        <f t="shared" si="61"/>
        <v>2</v>
      </c>
      <c r="D315" s="85" t="str">
        <f t="shared" si="59"/>
        <v>#16</v>
      </c>
      <c r="E315" s="85">
        <f t="shared" si="60"/>
        <v>300</v>
      </c>
      <c r="F315" s="178">
        <f t="shared" si="62"/>
        <v>400</v>
      </c>
      <c r="G315" s="99">
        <f t="shared" si="63"/>
        <v>4.8</v>
      </c>
      <c r="H315" s="85">
        <f t="shared" si="64"/>
        <v>1</v>
      </c>
      <c r="I315" s="99">
        <f t="shared" si="65"/>
        <v>61.97999999999999</v>
      </c>
    </row>
    <row r="316" spans="2:12" s="84" customFormat="1" x14ac:dyDescent="0.2">
      <c r="B316" s="99"/>
      <c r="C316" s="99"/>
    </row>
    <row r="317" spans="2:12" s="99" customFormat="1" x14ac:dyDescent="0.2"/>
    <row r="318" spans="2:12" s="84" customFormat="1" ht="15" x14ac:dyDescent="0.25">
      <c r="B318" s="86" t="s">
        <v>318</v>
      </c>
    </row>
    <row r="319" spans="2:12" s="84" customFormat="1" x14ac:dyDescent="0.2">
      <c r="C319" s="429" t="s">
        <v>398</v>
      </c>
      <c r="D319" s="429"/>
      <c r="E319" s="429"/>
      <c r="F319" s="429"/>
      <c r="G319" s="429"/>
      <c r="H319" s="99">
        <f>I75</f>
        <v>7</v>
      </c>
    </row>
    <row r="320" spans="2:12" s="84" customFormat="1" ht="14.25" customHeight="1" x14ac:dyDescent="0.2">
      <c r="B320" s="99"/>
      <c r="C320" s="429" t="s">
        <v>345</v>
      </c>
      <c r="F320" s="428" t="s">
        <v>396</v>
      </c>
      <c r="G320" s="428" t="s">
        <v>397</v>
      </c>
      <c r="H320" s="428" t="s">
        <v>393</v>
      </c>
      <c r="I320" s="428" t="s">
        <v>395</v>
      </c>
    </row>
    <row r="321" spans="2:15" s="84" customFormat="1" ht="17.25" customHeight="1" x14ac:dyDescent="0.3">
      <c r="B321" s="428" t="s">
        <v>394</v>
      </c>
      <c r="C321" s="429"/>
      <c r="D321" s="429" t="str">
        <f>C74</f>
        <v>Location B:</v>
      </c>
      <c r="E321" s="429"/>
      <c r="F321" s="428"/>
      <c r="G321" s="428"/>
      <c r="H321" s="428"/>
      <c r="I321" s="428"/>
      <c r="L321" s="436" t="s">
        <v>399</v>
      </c>
      <c r="M321" s="436"/>
      <c r="N321" s="436"/>
      <c r="O321" s="90">
        <f>O325/O326</f>
        <v>0.93684210526315803</v>
      </c>
    </row>
    <row r="322" spans="2:15" s="84" customFormat="1" ht="15" x14ac:dyDescent="0.25">
      <c r="B322" s="428"/>
      <c r="C322" s="429"/>
      <c r="D322" s="85" t="str">
        <f t="shared" ref="D322:E338" si="67">C78</f>
        <v>Emitter #</v>
      </c>
      <c r="E322" s="85" t="str">
        <f t="shared" si="67"/>
        <v>mL</v>
      </c>
      <c r="F322" s="100"/>
      <c r="G322" s="428"/>
      <c r="H322" s="428"/>
      <c r="I322" s="428"/>
      <c r="L322" s="437" t="s">
        <v>364</v>
      </c>
      <c r="M322" s="437"/>
      <c r="N322" s="437"/>
      <c r="O322" s="90">
        <f>SUM(H323:H338)</f>
        <v>16</v>
      </c>
    </row>
    <row r="323" spans="2:15" ht="15" x14ac:dyDescent="0.25">
      <c r="B323" s="322">
        <f>IF(F323&gt;=0,1,0)</f>
        <v>1</v>
      </c>
      <c r="C323" s="85">
        <f t="shared" ref="C323:C338" si="68">RANK(E323,$E$323:$E$338,1)</f>
        <v>2</v>
      </c>
      <c r="D323" s="85" t="str">
        <f t="shared" si="67"/>
        <v>#1</v>
      </c>
      <c r="E323" s="85">
        <f t="shared" si="67"/>
        <v>450</v>
      </c>
      <c r="F323" s="85">
        <f t="shared" ref="F323:F338" si="69">IF(ISERROR(VLOOKUP(ROW(F323)-ROW($F$322),$C$323:$E$338,3,FALSE)),F322,VLOOKUP(ROW(F323)-ROW($F$322),$C$323:$E$338,3,FALSE))</f>
        <v>420</v>
      </c>
      <c r="G323" s="99">
        <f t="shared" ref="G323:G338" si="70">F323*60/($H$319*1000)</f>
        <v>3.6</v>
      </c>
      <c r="H323" s="85">
        <f t="shared" ref="H323:H338" si="71">IF(F323&gt;0,1,0)</f>
        <v>1</v>
      </c>
      <c r="I323" s="4">
        <f>G323</f>
        <v>3.6</v>
      </c>
      <c r="L323" s="437" t="s">
        <v>365</v>
      </c>
      <c r="M323" s="437"/>
      <c r="N323" s="437"/>
      <c r="O323" s="90">
        <f>INT(O322/4)</f>
        <v>4</v>
      </c>
    </row>
    <row r="324" spans="2:15" s="99" customFormat="1" ht="15" x14ac:dyDescent="0.25">
      <c r="B324" s="322">
        <f>IF(H324&gt;=0,B323+1,0)</f>
        <v>2</v>
      </c>
      <c r="C324" s="85">
        <f t="shared" si="68"/>
        <v>7</v>
      </c>
      <c r="D324" s="85" t="str">
        <f t="shared" si="67"/>
        <v>#2</v>
      </c>
      <c r="E324" s="85">
        <f t="shared" si="67"/>
        <v>480</v>
      </c>
      <c r="F324" s="178">
        <f t="shared" si="69"/>
        <v>450</v>
      </c>
      <c r="G324" s="99">
        <f t="shared" si="70"/>
        <v>3.8571428571428572</v>
      </c>
      <c r="H324" s="85">
        <f t="shared" si="71"/>
        <v>1</v>
      </c>
      <c r="I324" s="99">
        <f t="shared" ref="I324:I338" si="72">I323+G324</f>
        <v>7.4571428571428573</v>
      </c>
      <c r="L324" s="437" t="s">
        <v>374</v>
      </c>
      <c r="M324" s="437"/>
      <c r="N324" s="437"/>
      <c r="O324" s="90">
        <f>VLOOKUP(O323,B323:I338,8,FALSE)</f>
        <v>15.257142857142858</v>
      </c>
    </row>
    <row r="325" spans="2:15" s="99" customFormat="1" ht="15" x14ac:dyDescent="0.25">
      <c r="B325" s="322">
        <f t="shared" ref="B325:B338" si="73">IF(H325&gt;=0,B324+1,0)</f>
        <v>3</v>
      </c>
      <c r="C325" s="85">
        <f t="shared" si="68"/>
        <v>6</v>
      </c>
      <c r="D325" s="85" t="str">
        <f t="shared" si="67"/>
        <v>#3</v>
      </c>
      <c r="E325" s="85">
        <f t="shared" si="67"/>
        <v>470</v>
      </c>
      <c r="F325" s="178">
        <f t="shared" si="69"/>
        <v>450</v>
      </c>
      <c r="G325" s="99">
        <f t="shared" si="70"/>
        <v>3.8571428571428572</v>
      </c>
      <c r="H325" s="85">
        <f t="shared" si="71"/>
        <v>1</v>
      </c>
      <c r="I325" s="99">
        <f t="shared" si="72"/>
        <v>11.314285714285715</v>
      </c>
      <c r="L325" s="437" t="s">
        <v>370</v>
      </c>
      <c r="M325" s="437"/>
      <c r="N325" s="437"/>
      <c r="O325" s="90">
        <f>O324/O323</f>
        <v>3.8142857142857145</v>
      </c>
    </row>
    <row r="326" spans="2:15" s="99" customFormat="1" ht="15" x14ac:dyDescent="0.25">
      <c r="B326" s="322">
        <f t="shared" si="73"/>
        <v>4</v>
      </c>
      <c r="C326" s="85">
        <f t="shared" si="68"/>
        <v>16</v>
      </c>
      <c r="D326" s="85" t="str">
        <f t="shared" si="67"/>
        <v>#4</v>
      </c>
      <c r="E326" s="85">
        <f t="shared" si="67"/>
        <v>520</v>
      </c>
      <c r="F326" s="178">
        <f t="shared" si="69"/>
        <v>460</v>
      </c>
      <c r="G326" s="99">
        <f t="shared" si="70"/>
        <v>3.9428571428571431</v>
      </c>
      <c r="H326" s="85">
        <f t="shared" si="71"/>
        <v>1</v>
      </c>
      <c r="I326" s="99">
        <f t="shared" si="72"/>
        <v>15.257142857142858</v>
      </c>
      <c r="L326" s="437" t="s">
        <v>371</v>
      </c>
      <c r="M326" s="437"/>
      <c r="N326" s="437"/>
      <c r="O326" s="90">
        <f>AVERAGE(G323:G338)</f>
        <v>4.0714285714285712</v>
      </c>
    </row>
    <row r="327" spans="2:15" s="99" customFormat="1" x14ac:dyDescent="0.2">
      <c r="B327" s="322">
        <f t="shared" si="73"/>
        <v>5</v>
      </c>
      <c r="C327" s="85">
        <f t="shared" si="68"/>
        <v>2</v>
      </c>
      <c r="D327" s="85" t="str">
        <f t="shared" si="67"/>
        <v>#5</v>
      </c>
      <c r="E327" s="85">
        <f t="shared" si="67"/>
        <v>450</v>
      </c>
      <c r="F327" s="178">
        <f t="shared" si="69"/>
        <v>460</v>
      </c>
      <c r="G327" s="99">
        <f t="shared" si="70"/>
        <v>3.9428571428571431</v>
      </c>
      <c r="H327" s="85">
        <f t="shared" si="71"/>
        <v>1</v>
      </c>
      <c r="I327" s="99">
        <f t="shared" si="72"/>
        <v>19.200000000000003</v>
      </c>
      <c r="L327" s="90"/>
      <c r="M327" s="90"/>
      <c r="N327" s="90"/>
      <c r="O327" s="90"/>
    </row>
    <row r="328" spans="2:15" s="99" customFormat="1" x14ac:dyDescent="0.2">
      <c r="B328" s="322">
        <f t="shared" si="73"/>
        <v>6</v>
      </c>
      <c r="C328" s="85">
        <f t="shared" si="68"/>
        <v>13</v>
      </c>
      <c r="D328" s="85" t="str">
        <f t="shared" si="67"/>
        <v>#6</v>
      </c>
      <c r="E328" s="85">
        <f t="shared" si="67"/>
        <v>490</v>
      </c>
      <c r="F328" s="178">
        <f t="shared" si="69"/>
        <v>470</v>
      </c>
      <c r="G328" s="99">
        <f t="shared" si="70"/>
        <v>4.0285714285714285</v>
      </c>
      <c r="H328" s="85">
        <f t="shared" si="71"/>
        <v>1</v>
      </c>
      <c r="I328" s="99">
        <f t="shared" si="72"/>
        <v>23.228571428571431</v>
      </c>
    </row>
    <row r="329" spans="2:15" s="99" customFormat="1" x14ac:dyDescent="0.2">
      <c r="B329" s="322">
        <f t="shared" si="73"/>
        <v>7</v>
      </c>
      <c r="C329" s="85">
        <f t="shared" si="68"/>
        <v>14</v>
      </c>
      <c r="D329" s="85" t="str">
        <f t="shared" si="67"/>
        <v>#7</v>
      </c>
      <c r="E329" s="85">
        <f t="shared" si="67"/>
        <v>500</v>
      </c>
      <c r="F329" s="178">
        <f t="shared" si="69"/>
        <v>480</v>
      </c>
      <c r="G329" s="99">
        <f t="shared" si="70"/>
        <v>4.1142857142857139</v>
      </c>
      <c r="H329" s="85">
        <f t="shared" si="71"/>
        <v>1</v>
      </c>
      <c r="I329" s="99">
        <f t="shared" si="72"/>
        <v>27.342857142857145</v>
      </c>
    </row>
    <row r="330" spans="2:15" s="99" customFormat="1" x14ac:dyDescent="0.2">
      <c r="B330" s="322">
        <f t="shared" si="73"/>
        <v>8</v>
      </c>
      <c r="C330" s="85">
        <f t="shared" si="68"/>
        <v>7</v>
      </c>
      <c r="D330" s="85" t="str">
        <f t="shared" si="67"/>
        <v>#8</v>
      </c>
      <c r="E330" s="85">
        <f t="shared" si="67"/>
        <v>480</v>
      </c>
      <c r="F330" s="178">
        <f t="shared" si="69"/>
        <v>480</v>
      </c>
      <c r="G330" s="99">
        <f t="shared" si="70"/>
        <v>4.1142857142857139</v>
      </c>
      <c r="H330" s="85">
        <f t="shared" si="71"/>
        <v>1</v>
      </c>
      <c r="I330" s="99">
        <f t="shared" si="72"/>
        <v>31.457142857142859</v>
      </c>
    </row>
    <row r="331" spans="2:15" s="99" customFormat="1" x14ac:dyDescent="0.2">
      <c r="B331" s="322">
        <f t="shared" si="73"/>
        <v>9</v>
      </c>
      <c r="C331" s="85">
        <f t="shared" si="68"/>
        <v>14</v>
      </c>
      <c r="D331" s="85" t="str">
        <f t="shared" si="67"/>
        <v>#9</v>
      </c>
      <c r="E331" s="85">
        <f t="shared" si="67"/>
        <v>500</v>
      </c>
      <c r="F331" s="178">
        <f t="shared" si="69"/>
        <v>480</v>
      </c>
      <c r="G331" s="99">
        <f t="shared" si="70"/>
        <v>4.1142857142857139</v>
      </c>
      <c r="H331" s="85">
        <f t="shared" si="71"/>
        <v>1</v>
      </c>
      <c r="I331" s="99">
        <f t="shared" si="72"/>
        <v>35.571428571428569</v>
      </c>
    </row>
    <row r="332" spans="2:15" s="99" customFormat="1" x14ac:dyDescent="0.2">
      <c r="B332" s="322">
        <f t="shared" si="73"/>
        <v>10</v>
      </c>
      <c r="C332" s="85">
        <f t="shared" si="68"/>
        <v>4</v>
      </c>
      <c r="D332" s="85" t="str">
        <f t="shared" si="67"/>
        <v>#10</v>
      </c>
      <c r="E332" s="85">
        <f t="shared" si="67"/>
        <v>460</v>
      </c>
      <c r="F332" s="178">
        <f t="shared" si="69"/>
        <v>480</v>
      </c>
      <c r="G332" s="99">
        <f t="shared" si="70"/>
        <v>4.1142857142857139</v>
      </c>
      <c r="H332" s="85">
        <f t="shared" si="71"/>
        <v>1</v>
      </c>
      <c r="I332" s="99">
        <f t="shared" si="72"/>
        <v>39.685714285714283</v>
      </c>
    </row>
    <row r="333" spans="2:15" s="99" customFormat="1" x14ac:dyDescent="0.2">
      <c r="B333" s="322">
        <f t="shared" si="73"/>
        <v>11</v>
      </c>
      <c r="C333" s="85">
        <f t="shared" si="68"/>
        <v>1</v>
      </c>
      <c r="D333" s="85" t="str">
        <f t="shared" si="67"/>
        <v>#11</v>
      </c>
      <c r="E333" s="85">
        <f t="shared" si="67"/>
        <v>420</v>
      </c>
      <c r="F333" s="178">
        <f t="shared" si="69"/>
        <v>480</v>
      </c>
      <c r="G333" s="99">
        <f t="shared" si="70"/>
        <v>4.1142857142857139</v>
      </c>
      <c r="H333" s="85">
        <f t="shared" si="71"/>
        <v>1</v>
      </c>
      <c r="I333" s="99">
        <f t="shared" si="72"/>
        <v>43.8</v>
      </c>
    </row>
    <row r="334" spans="2:15" s="99" customFormat="1" x14ac:dyDescent="0.2">
      <c r="B334" s="322">
        <f t="shared" si="73"/>
        <v>12</v>
      </c>
      <c r="C334" s="85">
        <f t="shared" si="68"/>
        <v>7</v>
      </c>
      <c r="D334" s="85" t="str">
        <f t="shared" si="67"/>
        <v>#12</v>
      </c>
      <c r="E334" s="85">
        <f t="shared" si="67"/>
        <v>480</v>
      </c>
      <c r="F334" s="178">
        <f t="shared" si="69"/>
        <v>480</v>
      </c>
      <c r="G334" s="99">
        <f t="shared" si="70"/>
        <v>4.1142857142857139</v>
      </c>
      <c r="H334" s="85">
        <f t="shared" si="71"/>
        <v>1</v>
      </c>
      <c r="I334" s="99">
        <f t="shared" si="72"/>
        <v>47.914285714285711</v>
      </c>
    </row>
    <row r="335" spans="2:15" s="99" customFormat="1" x14ac:dyDescent="0.2">
      <c r="B335" s="322">
        <f t="shared" si="73"/>
        <v>13</v>
      </c>
      <c r="C335" s="85">
        <f t="shared" si="68"/>
        <v>4</v>
      </c>
      <c r="D335" s="85" t="str">
        <f t="shared" si="67"/>
        <v>#13</v>
      </c>
      <c r="E335" s="85">
        <f t="shared" si="67"/>
        <v>460</v>
      </c>
      <c r="F335" s="178">
        <f t="shared" si="69"/>
        <v>490</v>
      </c>
      <c r="G335" s="99">
        <f t="shared" si="70"/>
        <v>4.2</v>
      </c>
      <c r="H335" s="85">
        <f t="shared" si="71"/>
        <v>1</v>
      </c>
      <c r="I335" s="99">
        <f t="shared" si="72"/>
        <v>52.114285714285714</v>
      </c>
    </row>
    <row r="336" spans="2:15" s="99" customFormat="1" x14ac:dyDescent="0.2">
      <c r="B336" s="322">
        <f t="shared" si="73"/>
        <v>14</v>
      </c>
      <c r="C336" s="85">
        <f t="shared" si="68"/>
        <v>7</v>
      </c>
      <c r="D336" s="85" t="str">
        <f t="shared" si="67"/>
        <v>#14</v>
      </c>
      <c r="E336" s="85">
        <f t="shared" si="67"/>
        <v>480</v>
      </c>
      <c r="F336" s="178">
        <f t="shared" si="69"/>
        <v>500</v>
      </c>
      <c r="G336" s="99">
        <f t="shared" si="70"/>
        <v>4.2857142857142856</v>
      </c>
      <c r="H336" s="85">
        <f t="shared" si="71"/>
        <v>1</v>
      </c>
      <c r="I336" s="99">
        <f t="shared" si="72"/>
        <v>56.4</v>
      </c>
    </row>
    <row r="337" spans="2:15" s="99" customFormat="1" x14ac:dyDescent="0.2">
      <c r="B337" s="322">
        <f t="shared" si="73"/>
        <v>15</v>
      </c>
      <c r="C337" s="85">
        <f t="shared" si="68"/>
        <v>7</v>
      </c>
      <c r="D337" s="85" t="str">
        <f t="shared" si="67"/>
        <v>#15</v>
      </c>
      <c r="E337" s="85">
        <f t="shared" si="67"/>
        <v>480</v>
      </c>
      <c r="F337" s="178">
        <f t="shared" si="69"/>
        <v>500</v>
      </c>
      <c r="G337" s="99">
        <f t="shared" si="70"/>
        <v>4.2857142857142856</v>
      </c>
      <c r="H337" s="85">
        <f t="shared" si="71"/>
        <v>1</v>
      </c>
      <c r="I337" s="99">
        <f t="shared" si="72"/>
        <v>60.685714285714283</v>
      </c>
    </row>
    <row r="338" spans="2:15" s="99" customFormat="1" x14ac:dyDescent="0.2">
      <c r="B338" s="322">
        <f t="shared" si="73"/>
        <v>16</v>
      </c>
      <c r="C338" s="85">
        <f t="shared" si="68"/>
        <v>7</v>
      </c>
      <c r="D338" s="85" t="str">
        <f t="shared" si="67"/>
        <v>#16</v>
      </c>
      <c r="E338" s="85">
        <f t="shared" si="67"/>
        <v>480</v>
      </c>
      <c r="F338" s="178">
        <f t="shared" si="69"/>
        <v>520</v>
      </c>
      <c r="G338" s="99">
        <f t="shared" si="70"/>
        <v>4.4571428571428573</v>
      </c>
      <c r="H338" s="85">
        <f t="shared" si="71"/>
        <v>1</v>
      </c>
      <c r="I338" s="99">
        <f t="shared" si="72"/>
        <v>65.142857142857139</v>
      </c>
    </row>
    <row r="339" spans="2:15" s="99" customFormat="1" x14ac:dyDescent="0.2"/>
    <row r="340" spans="2:15" s="99" customFormat="1" x14ac:dyDescent="0.2"/>
    <row r="341" spans="2:15" s="99" customFormat="1" ht="15" x14ac:dyDescent="0.25">
      <c r="B341" s="86" t="s">
        <v>319</v>
      </c>
    </row>
    <row r="342" spans="2:15" s="99" customFormat="1" x14ac:dyDescent="0.2">
      <c r="C342" s="429" t="s">
        <v>398</v>
      </c>
      <c r="D342" s="429"/>
      <c r="E342" s="429"/>
      <c r="F342" s="429"/>
      <c r="G342" s="429"/>
      <c r="H342" s="99">
        <f>I98</f>
        <v>5</v>
      </c>
    </row>
    <row r="343" spans="2:15" s="99" customFormat="1" ht="14.25" customHeight="1" x14ac:dyDescent="0.2">
      <c r="C343" s="429" t="s">
        <v>345</v>
      </c>
      <c r="F343" s="428" t="s">
        <v>396</v>
      </c>
      <c r="G343" s="428" t="s">
        <v>397</v>
      </c>
      <c r="H343" s="428" t="s">
        <v>393</v>
      </c>
      <c r="I343" s="428" t="s">
        <v>395</v>
      </c>
    </row>
    <row r="344" spans="2:15" s="99" customFormat="1" ht="17.25" customHeight="1" x14ac:dyDescent="0.3">
      <c r="B344" s="428" t="s">
        <v>394</v>
      </c>
      <c r="C344" s="429"/>
      <c r="D344" s="429" t="str">
        <f>C97</f>
        <v>Location C:</v>
      </c>
      <c r="E344" s="429"/>
      <c r="F344" s="428"/>
      <c r="G344" s="428"/>
      <c r="H344" s="428"/>
      <c r="I344" s="428"/>
      <c r="L344" s="436" t="s">
        <v>400</v>
      </c>
      <c r="M344" s="436"/>
      <c r="N344" s="436"/>
      <c r="O344" s="90">
        <f>O348/O349</f>
        <v>0.93829905503057265</v>
      </c>
    </row>
    <row r="345" spans="2:15" s="99" customFormat="1" ht="15" x14ac:dyDescent="0.25">
      <c r="B345" s="428"/>
      <c r="C345" s="429"/>
      <c r="D345" s="85" t="str">
        <f t="shared" ref="D345:E373" si="74">C101</f>
        <v>Emitter #</v>
      </c>
      <c r="E345" s="85" t="str">
        <f t="shared" si="74"/>
        <v>mL</v>
      </c>
      <c r="F345" s="100"/>
      <c r="G345" s="428"/>
      <c r="H345" s="428"/>
      <c r="I345" s="428"/>
      <c r="L345" s="437" t="s">
        <v>364</v>
      </c>
      <c r="M345" s="437"/>
      <c r="N345" s="437"/>
      <c r="O345" s="90">
        <f>SUM(H346:H373)</f>
        <v>28</v>
      </c>
    </row>
    <row r="346" spans="2:15" s="99" customFormat="1" ht="15" x14ac:dyDescent="0.25">
      <c r="B346" s="322">
        <f>IF(F346&gt;=0,1,0)</f>
        <v>1</v>
      </c>
      <c r="C346" s="85">
        <f t="shared" ref="C346:C373" si="75">RANK(E346,$E$346:$E$373,1)</f>
        <v>2</v>
      </c>
      <c r="D346" s="85" t="str">
        <f t="shared" si="74"/>
        <v>#1</v>
      </c>
      <c r="E346" s="85">
        <f t="shared" si="74"/>
        <v>305</v>
      </c>
      <c r="F346" s="85">
        <f t="shared" ref="F346:F373" si="76">IF(ISERROR(VLOOKUP(ROW(F346)-ROW($F$345),$C$346:$E$373,3,FALSE)),F345,VLOOKUP(ROW(F346)-ROW($F$345),$C$346:$E$373,3,FALSE))</f>
        <v>275</v>
      </c>
      <c r="G346" s="99">
        <f t="shared" ref="G346:G373" si="77">F346*60/($H$342*1000)</f>
        <v>3.3</v>
      </c>
      <c r="H346" s="85">
        <f t="shared" ref="H346:H373" si="78">IF(F346&gt;0,1,0)</f>
        <v>1</v>
      </c>
      <c r="I346" s="99">
        <f>G346</f>
        <v>3.3</v>
      </c>
      <c r="L346" s="437" t="s">
        <v>365</v>
      </c>
      <c r="M346" s="437"/>
      <c r="N346" s="437"/>
      <c r="O346" s="90">
        <f>INT(O345/4)</f>
        <v>7</v>
      </c>
    </row>
    <row r="347" spans="2:15" s="99" customFormat="1" ht="15" x14ac:dyDescent="0.25">
      <c r="B347" s="322">
        <f>IF(H347&gt;=0,B346+1,0)</f>
        <v>2</v>
      </c>
      <c r="C347" s="85">
        <f t="shared" si="75"/>
        <v>12</v>
      </c>
      <c r="D347" s="85" t="str">
        <f t="shared" si="74"/>
        <v>#2</v>
      </c>
      <c r="E347" s="85">
        <f t="shared" si="74"/>
        <v>320</v>
      </c>
      <c r="F347" s="178">
        <f t="shared" si="76"/>
        <v>305</v>
      </c>
      <c r="G347" s="99">
        <f t="shared" si="77"/>
        <v>3.66</v>
      </c>
      <c r="H347" s="85">
        <f t="shared" si="78"/>
        <v>1</v>
      </c>
      <c r="I347" s="99">
        <f t="shared" ref="I347:I373" si="79">I346+G347</f>
        <v>6.96</v>
      </c>
      <c r="L347" s="437" t="s">
        <v>374</v>
      </c>
      <c r="M347" s="437"/>
      <c r="N347" s="437"/>
      <c r="O347" s="90">
        <f>VLOOKUP(O346,B346:I373,8,FALSE)</f>
        <v>25.32</v>
      </c>
    </row>
    <row r="348" spans="2:15" s="99" customFormat="1" ht="15" x14ac:dyDescent="0.25">
      <c r="B348" s="322">
        <f t="shared" ref="B348:B373" si="80">IF(H348&gt;=0,B347+1,0)</f>
        <v>3</v>
      </c>
      <c r="C348" s="85">
        <f t="shared" si="75"/>
        <v>2</v>
      </c>
      <c r="D348" s="85" t="str">
        <f t="shared" si="74"/>
        <v>#3</v>
      </c>
      <c r="E348" s="85">
        <f t="shared" si="74"/>
        <v>305</v>
      </c>
      <c r="F348" s="178">
        <f t="shared" si="76"/>
        <v>305</v>
      </c>
      <c r="G348" s="99">
        <f t="shared" si="77"/>
        <v>3.66</v>
      </c>
      <c r="H348" s="85">
        <f t="shared" si="78"/>
        <v>1</v>
      </c>
      <c r="I348" s="99">
        <f t="shared" si="79"/>
        <v>10.620000000000001</v>
      </c>
      <c r="L348" s="437" t="s">
        <v>370</v>
      </c>
      <c r="M348" s="437"/>
      <c r="N348" s="437"/>
      <c r="O348" s="90">
        <f>O347/O346</f>
        <v>3.617142857142857</v>
      </c>
    </row>
    <row r="349" spans="2:15" s="99" customFormat="1" ht="15" x14ac:dyDescent="0.25">
      <c r="B349" s="322">
        <f t="shared" si="80"/>
        <v>4</v>
      </c>
      <c r="C349" s="85">
        <f t="shared" si="75"/>
        <v>1</v>
      </c>
      <c r="D349" s="85" t="str">
        <f t="shared" si="74"/>
        <v>#4</v>
      </c>
      <c r="E349" s="85">
        <f t="shared" si="74"/>
        <v>275</v>
      </c>
      <c r="F349" s="178">
        <f t="shared" si="76"/>
        <v>305</v>
      </c>
      <c r="G349" s="99">
        <f t="shared" si="77"/>
        <v>3.66</v>
      </c>
      <c r="H349" s="85">
        <f t="shared" si="78"/>
        <v>1</v>
      </c>
      <c r="I349" s="99">
        <f t="shared" si="79"/>
        <v>14.280000000000001</v>
      </c>
      <c r="L349" s="437" t="s">
        <v>371</v>
      </c>
      <c r="M349" s="437"/>
      <c r="N349" s="437"/>
      <c r="O349" s="90">
        <f>AVERAGE(G346:G373)</f>
        <v>3.8549999999999995</v>
      </c>
    </row>
    <row r="350" spans="2:15" s="99" customFormat="1" x14ac:dyDescent="0.2">
      <c r="B350" s="322">
        <f t="shared" si="80"/>
        <v>5</v>
      </c>
      <c r="C350" s="85">
        <f t="shared" si="75"/>
        <v>28</v>
      </c>
      <c r="D350" s="85" t="str">
        <f t="shared" si="74"/>
        <v>#5</v>
      </c>
      <c r="E350" s="85">
        <f t="shared" si="74"/>
        <v>355</v>
      </c>
      <c r="F350" s="178">
        <f t="shared" si="76"/>
        <v>305</v>
      </c>
      <c r="G350" s="99">
        <f t="shared" si="77"/>
        <v>3.66</v>
      </c>
      <c r="H350" s="85">
        <f t="shared" si="78"/>
        <v>1</v>
      </c>
      <c r="I350" s="99">
        <f t="shared" si="79"/>
        <v>17.940000000000001</v>
      </c>
      <c r="L350" s="90"/>
      <c r="M350" s="90"/>
      <c r="N350" s="90"/>
      <c r="O350" s="90"/>
    </row>
    <row r="351" spans="2:15" s="99" customFormat="1" x14ac:dyDescent="0.2">
      <c r="B351" s="322">
        <f t="shared" si="80"/>
        <v>6</v>
      </c>
      <c r="C351" s="85">
        <f t="shared" si="75"/>
        <v>8</v>
      </c>
      <c r="D351" s="85" t="str">
        <f t="shared" si="74"/>
        <v>#6</v>
      </c>
      <c r="E351" s="85">
        <f t="shared" si="74"/>
        <v>315</v>
      </c>
      <c r="F351" s="178">
        <f t="shared" si="76"/>
        <v>305</v>
      </c>
      <c r="G351" s="99">
        <f t="shared" si="77"/>
        <v>3.66</v>
      </c>
      <c r="H351" s="85">
        <f t="shared" si="78"/>
        <v>1</v>
      </c>
      <c r="I351" s="99">
        <f t="shared" si="79"/>
        <v>21.6</v>
      </c>
    </row>
    <row r="352" spans="2:15" s="99" customFormat="1" x14ac:dyDescent="0.2">
      <c r="B352" s="322">
        <f t="shared" si="80"/>
        <v>7</v>
      </c>
      <c r="C352" s="85">
        <f t="shared" si="75"/>
        <v>17</v>
      </c>
      <c r="D352" s="85" t="str">
        <f t="shared" si="74"/>
        <v>#7</v>
      </c>
      <c r="E352" s="85">
        <f t="shared" si="74"/>
        <v>325</v>
      </c>
      <c r="F352" s="178">
        <f t="shared" si="76"/>
        <v>310</v>
      </c>
      <c r="G352" s="99">
        <f t="shared" si="77"/>
        <v>3.72</v>
      </c>
      <c r="H352" s="85">
        <f t="shared" si="78"/>
        <v>1</v>
      </c>
      <c r="I352" s="99">
        <f t="shared" si="79"/>
        <v>25.32</v>
      </c>
    </row>
    <row r="353" spans="2:9" s="99" customFormat="1" x14ac:dyDescent="0.2">
      <c r="B353" s="322">
        <f t="shared" si="80"/>
        <v>8</v>
      </c>
      <c r="C353" s="85">
        <f t="shared" si="75"/>
        <v>12</v>
      </c>
      <c r="D353" s="85" t="str">
        <f t="shared" si="74"/>
        <v>#8</v>
      </c>
      <c r="E353" s="85">
        <f t="shared" si="74"/>
        <v>320</v>
      </c>
      <c r="F353" s="178">
        <f t="shared" si="76"/>
        <v>315</v>
      </c>
      <c r="G353" s="99">
        <f t="shared" si="77"/>
        <v>3.78</v>
      </c>
      <c r="H353" s="85">
        <f t="shared" si="78"/>
        <v>1</v>
      </c>
      <c r="I353" s="99">
        <f t="shared" si="79"/>
        <v>29.1</v>
      </c>
    </row>
    <row r="354" spans="2:9" s="99" customFormat="1" x14ac:dyDescent="0.2">
      <c r="B354" s="322">
        <f t="shared" si="80"/>
        <v>9</v>
      </c>
      <c r="C354" s="85">
        <f t="shared" si="75"/>
        <v>8</v>
      </c>
      <c r="D354" s="85" t="str">
        <f t="shared" si="74"/>
        <v>#9</v>
      </c>
      <c r="E354" s="85">
        <f t="shared" si="74"/>
        <v>315</v>
      </c>
      <c r="F354" s="178">
        <f t="shared" si="76"/>
        <v>315</v>
      </c>
      <c r="G354" s="99">
        <f t="shared" si="77"/>
        <v>3.78</v>
      </c>
      <c r="H354" s="85">
        <f t="shared" si="78"/>
        <v>1</v>
      </c>
      <c r="I354" s="99">
        <f t="shared" si="79"/>
        <v>32.880000000000003</v>
      </c>
    </row>
    <row r="355" spans="2:9" s="99" customFormat="1" x14ac:dyDescent="0.2">
      <c r="B355" s="322">
        <f t="shared" si="80"/>
        <v>10</v>
      </c>
      <c r="C355" s="85">
        <f t="shared" si="75"/>
        <v>8</v>
      </c>
      <c r="D355" s="85" t="str">
        <f t="shared" si="74"/>
        <v>#10</v>
      </c>
      <c r="E355" s="85">
        <f t="shared" si="74"/>
        <v>315</v>
      </c>
      <c r="F355" s="178">
        <f t="shared" si="76"/>
        <v>315</v>
      </c>
      <c r="G355" s="99">
        <f t="shared" si="77"/>
        <v>3.78</v>
      </c>
      <c r="H355" s="85">
        <f t="shared" si="78"/>
        <v>1</v>
      </c>
      <c r="I355" s="99">
        <f t="shared" si="79"/>
        <v>36.660000000000004</v>
      </c>
    </row>
    <row r="356" spans="2:9" s="99" customFormat="1" x14ac:dyDescent="0.2">
      <c r="B356" s="322">
        <f t="shared" si="80"/>
        <v>11</v>
      </c>
      <c r="C356" s="85">
        <f t="shared" si="75"/>
        <v>7</v>
      </c>
      <c r="D356" s="85" t="str">
        <f t="shared" si="74"/>
        <v>#11</v>
      </c>
      <c r="E356" s="85">
        <f t="shared" si="74"/>
        <v>310</v>
      </c>
      <c r="F356" s="178">
        <f t="shared" si="76"/>
        <v>315</v>
      </c>
      <c r="G356" s="99">
        <f t="shared" si="77"/>
        <v>3.78</v>
      </c>
      <c r="H356" s="85">
        <f t="shared" si="78"/>
        <v>1</v>
      </c>
      <c r="I356" s="99">
        <f t="shared" si="79"/>
        <v>40.440000000000005</v>
      </c>
    </row>
    <row r="357" spans="2:9" s="99" customFormat="1" x14ac:dyDescent="0.2">
      <c r="B357" s="322">
        <f t="shared" si="80"/>
        <v>12</v>
      </c>
      <c r="C357" s="85">
        <f t="shared" si="75"/>
        <v>2</v>
      </c>
      <c r="D357" s="85" t="str">
        <f t="shared" si="74"/>
        <v>#12</v>
      </c>
      <c r="E357" s="85">
        <f t="shared" si="74"/>
        <v>305</v>
      </c>
      <c r="F357" s="178">
        <f t="shared" si="76"/>
        <v>320</v>
      </c>
      <c r="G357" s="99">
        <f t="shared" si="77"/>
        <v>3.84</v>
      </c>
      <c r="H357" s="85">
        <f t="shared" si="78"/>
        <v>1</v>
      </c>
      <c r="I357" s="99">
        <f t="shared" si="79"/>
        <v>44.28</v>
      </c>
    </row>
    <row r="358" spans="2:9" s="99" customFormat="1" x14ac:dyDescent="0.2">
      <c r="B358" s="322">
        <f t="shared" si="80"/>
        <v>13</v>
      </c>
      <c r="C358" s="85">
        <f t="shared" si="75"/>
        <v>19</v>
      </c>
      <c r="D358" s="85" t="str">
        <f t="shared" si="74"/>
        <v>#13</v>
      </c>
      <c r="E358" s="85">
        <f t="shared" si="74"/>
        <v>330</v>
      </c>
      <c r="F358" s="178">
        <f t="shared" si="76"/>
        <v>320</v>
      </c>
      <c r="G358" s="99">
        <f t="shared" si="77"/>
        <v>3.84</v>
      </c>
      <c r="H358" s="85">
        <f t="shared" si="78"/>
        <v>1</v>
      </c>
      <c r="I358" s="99">
        <f t="shared" si="79"/>
        <v>48.120000000000005</v>
      </c>
    </row>
    <row r="359" spans="2:9" s="99" customFormat="1" x14ac:dyDescent="0.2">
      <c r="B359" s="322">
        <f t="shared" si="80"/>
        <v>14</v>
      </c>
      <c r="C359" s="85">
        <f t="shared" si="75"/>
        <v>2</v>
      </c>
      <c r="D359" s="85" t="str">
        <f t="shared" si="74"/>
        <v>#14</v>
      </c>
      <c r="E359" s="85">
        <f t="shared" si="74"/>
        <v>305</v>
      </c>
      <c r="F359" s="178">
        <f t="shared" si="76"/>
        <v>320</v>
      </c>
      <c r="G359" s="99">
        <f t="shared" si="77"/>
        <v>3.84</v>
      </c>
      <c r="H359" s="85">
        <f t="shared" si="78"/>
        <v>1</v>
      </c>
      <c r="I359" s="99">
        <f t="shared" si="79"/>
        <v>51.960000000000008</v>
      </c>
    </row>
    <row r="360" spans="2:9" s="99" customFormat="1" x14ac:dyDescent="0.2">
      <c r="B360" s="322">
        <f t="shared" si="80"/>
        <v>15</v>
      </c>
      <c r="C360" s="85">
        <f t="shared" si="75"/>
        <v>19</v>
      </c>
      <c r="D360" s="85" t="str">
        <f t="shared" si="74"/>
        <v>#15</v>
      </c>
      <c r="E360" s="85">
        <f t="shared" si="74"/>
        <v>330</v>
      </c>
      <c r="F360" s="178">
        <f t="shared" si="76"/>
        <v>320</v>
      </c>
      <c r="G360" s="99">
        <f t="shared" si="77"/>
        <v>3.84</v>
      </c>
      <c r="H360" s="85">
        <f t="shared" si="78"/>
        <v>1</v>
      </c>
      <c r="I360" s="99">
        <f t="shared" si="79"/>
        <v>55.800000000000011</v>
      </c>
    </row>
    <row r="361" spans="2:9" s="99" customFormat="1" x14ac:dyDescent="0.2">
      <c r="B361" s="322">
        <f t="shared" si="80"/>
        <v>16</v>
      </c>
      <c r="C361" s="85">
        <f t="shared" si="75"/>
        <v>19</v>
      </c>
      <c r="D361" s="85" t="str">
        <f t="shared" si="74"/>
        <v>#16</v>
      </c>
      <c r="E361" s="85">
        <f t="shared" si="74"/>
        <v>330</v>
      </c>
      <c r="F361" s="178">
        <f t="shared" si="76"/>
        <v>320</v>
      </c>
      <c r="G361" s="99">
        <f t="shared" si="77"/>
        <v>3.84</v>
      </c>
      <c r="H361" s="85">
        <f t="shared" si="78"/>
        <v>1</v>
      </c>
      <c r="I361" s="99">
        <f t="shared" si="79"/>
        <v>59.640000000000015</v>
      </c>
    </row>
    <row r="362" spans="2:9" s="99" customFormat="1" x14ac:dyDescent="0.2">
      <c r="B362" s="322">
        <f t="shared" si="80"/>
        <v>17</v>
      </c>
      <c r="C362" s="85">
        <f t="shared" si="75"/>
        <v>2</v>
      </c>
      <c r="D362" s="85" t="str">
        <f t="shared" si="74"/>
        <v>#17</v>
      </c>
      <c r="E362" s="85">
        <f t="shared" si="74"/>
        <v>305</v>
      </c>
      <c r="F362" s="178">
        <f t="shared" si="76"/>
        <v>325</v>
      </c>
      <c r="G362" s="99">
        <f t="shared" si="77"/>
        <v>3.9</v>
      </c>
      <c r="H362" s="85">
        <f t="shared" si="78"/>
        <v>1</v>
      </c>
      <c r="I362" s="99">
        <f t="shared" si="79"/>
        <v>63.540000000000013</v>
      </c>
    </row>
    <row r="363" spans="2:9" s="99" customFormat="1" x14ac:dyDescent="0.2">
      <c r="B363" s="322">
        <f t="shared" si="80"/>
        <v>18</v>
      </c>
      <c r="C363" s="85">
        <f t="shared" si="75"/>
        <v>8</v>
      </c>
      <c r="D363" s="85" t="str">
        <f t="shared" si="74"/>
        <v>#18</v>
      </c>
      <c r="E363" s="85">
        <f t="shared" si="74"/>
        <v>315</v>
      </c>
      <c r="F363" s="178">
        <f t="shared" si="76"/>
        <v>325</v>
      </c>
      <c r="G363" s="99">
        <f t="shared" si="77"/>
        <v>3.9</v>
      </c>
      <c r="H363" s="85">
        <f t="shared" si="78"/>
        <v>1</v>
      </c>
      <c r="I363" s="99">
        <f t="shared" si="79"/>
        <v>67.440000000000012</v>
      </c>
    </row>
    <row r="364" spans="2:9" s="99" customFormat="1" x14ac:dyDescent="0.2">
      <c r="B364" s="322">
        <f t="shared" si="80"/>
        <v>19</v>
      </c>
      <c r="C364" s="85">
        <f t="shared" si="75"/>
        <v>23</v>
      </c>
      <c r="D364" s="85" t="str">
        <f t="shared" si="74"/>
        <v>#19</v>
      </c>
      <c r="E364" s="85">
        <f t="shared" si="74"/>
        <v>335</v>
      </c>
      <c r="F364" s="178">
        <f t="shared" si="76"/>
        <v>330</v>
      </c>
      <c r="G364" s="99">
        <f t="shared" si="77"/>
        <v>3.96</v>
      </c>
      <c r="H364" s="85">
        <f t="shared" si="78"/>
        <v>1</v>
      </c>
      <c r="I364" s="99">
        <f t="shared" si="79"/>
        <v>71.400000000000006</v>
      </c>
    </row>
    <row r="365" spans="2:9" s="99" customFormat="1" x14ac:dyDescent="0.2">
      <c r="B365" s="322">
        <f t="shared" si="80"/>
        <v>20</v>
      </c>
      <c r="C365" s="85">
        <f t="shared" si="75"/>
        <v>12</v>
      </c>
      <c r="D365" s="85" t="str">
        <f t="shared" si="74"/>
        <v>#20</v>
      </c>
      <c r="E365" s="85">
        <f t="shared" si="74"/>
        <v>320</v>
      </c>
      <c r="F365" s="178">
        <f t="shared" si="76"/>
        <v>330</v>
      </c>
      <c r="G365" s="99">
        <f t="shared" si="77"/>
        <v>3.96</v>
      </c>
      <c r="H365" s="85">
        <f t="shared" si="78"/>
        <v>1</v>
      </c>
      <c r="I365" s="99">
        <f t="shared" si="79"/>
        <v>75.36</v>
      </c>
    </row>
    <row r="366" spans="2:9" s="99" customFormat="1" x14ac:dyDescent="0.2">
      <c r="B366" s="322">
        <f t="shared" si="80"/>
        <v>21</v>
      </c>
      <c r="C366" s="85">
        <f t="shared" si="75"/>
        <v>25</v>
      </c>
      <c r="D366" s="85" t="str">
        <f t="shared" si="74"/>
        <v>#21</v>
      </c>
      <c r="E366" s="85">
        <f t="shared" si="74"/>
        <v>340</v>
      </c>
      <c r="F366" s="178">
        <f t="shared" si="76"/>
        <v>330</v>
      </c>
      <c r="G366" s="99">
        <f t="shared" si="77"/>
        <v>3.96</v>
      </c>
      <c r="H366" s="85">
        <f t="shared" si="78"/>
        <v>1</v>
      </c>
      <c r="I366" s="99">
        <f t="shared" si="79"/>
        <v>79.319999999999993</v>
      </c>
    </row>
    <row r="367" spans="2:9" s="99" customFormat="1" x14ac:dyDescent="0.2">
      <c r="B367" s="322">
        <f t="shared" si="80"/>
        <v>22</v>
      </c>
      <c r="C367" s="85">
        <f t="shared" si="75"/>
        <v>23</v>
      </c>
      <c r="D367" s="85" t="str">
        <f t="shared" si="74"/>
        <v>#22</v>
      </c>
      <c r="E367" s="85">
        <f t="shared" si="74"/>
        <v>335</v>
      </c>
      <c r="F367" s="178">
        <f t="shared" si="76"/>
        <v>330</v>
      </c>
      <c r="G367" s="99">
        <f t="shared" si="77"/>
        <v>3.96</v>
      </c>
      <c r="H367" s="85">
        <f t="shared" si="78"/>
        <v>1</v>
      </c>
      <c r="I367" s="99">
        <f t="shared" si="79"/>
        <v>83.279999999999987</v>
      </c>
    </row>
    <row r="368" spans="2:9" s="99" customFormat="1" x14ac:dyDescent="0.2">
      <c r="B368" s="322">
        <f t="shared" si="80"/>
        <v>23</v>
      </c>
      <c r="C368" s="85">
        <f t="shared" si="75"/>
        <v>26</v>
      </c>
      <c r="D368" s="85" t="str">
        <f t="shared" si="74"/>
        <v>#23</v>
      </c>
      <c r="E368" s="85">
        <f t="shared" si="74"/>
        <v>345</v>
      </c>
      <c r="F368" s="178">
        <f t="shared" si="76"/>
        <v>335</v>
      </c>
      <c r="G368" s="99">
        <f t="shared" si="77"/>
        <v>4.0199999999999996</v>
      </c>
      <c r="H368" s="85">
        <f t="shared" si="78"/>
        <v>1</v>
      </c>
      <c r="I368" s="99">
        <f t="shared" si="79"/>
        <v>87.299999999999983</v>
      </c>
    </row>
    <row r="369" spans="2:11" s="99" customFormat="1" x14ac:dyDescent="0.2">
      <c r="B369" s="322">
        <f t="shared" si="80"/>
        <v>24</v>
      </c>
      <c r="C369" s="85">
        <f t="shared" si="75"/>
        <v>17</v>
      </c>
      <c r="D369" s="85" t="str">
        <f t="shared" si="74"/>
        <v>#24</v>
      </c>
      <c r="E369" s="85">
        <f t="shared" si="74"/>
        <v>325</v>
      </c>
      <c r="F369" s="178">
        <f t="shared" si="76"/>
        <v>335</v>
      </c>
      <c r="G369" s="99">
        <f t="shared" si="77"/>
        <v>4.0199999999999996</v>
      </c>
      <c r="H369" s="85">
        <f t="shared" si="78"/>
        <v>1</v>
      </c>
      <c r="I369" s="99">
        <f t="shared" si="79"/>
        <v>91.319999999999979</v>
      </c>
    </row>
    <row r="370" spans="2:11" s="84" customFormat="1" x14ac:dyDescent="0.2">
      <c r="B370" s="322">
        <f t="shared" si="80"/>
        <v>25</v>
      </c>
      <c r="C370" s="85">
        <f t="shared" si="75"/>
        <v>19</v>
      </c>
      <c r="D370" s="85" t="str">
        <f t="shared" si="74"/>
        <v>#25</v>
      </c>
      <c r="E370" s="85">
        <f t="shared" si="74"/>
        <v>330</v>
      </c>
      <c r="F370" s="178">
        <f t="shared" si="76"/>
        <v>340</v>
      </c>
      <c r="G370" s="99">
        <f t="shared" si="77"/>
        <v>4.08</v>
      </c>
      <c r="H370" s="85">
        <f t="shared" si="78"/>
        <v>1</v>
      </c>
      <c r="I370" s="99">
        <f t="shared" si="79"/>
        <v>95.399999999999977</v>
      </c>
    </row>
    <row r="371" spans="2:11" s="84" customFormat="1" x14ac:dyDescent="0.2">
      <c r="B371" s="322">
        <f t="shared" si="80"/>
        <v>26</v>
      </c>
      <c r="C371" s="85">
        <f t="shared" si="75"/>
        <v>12</v>
      </c>
      <c r="D371" s="85" t="str">
        <f t="shared" si="74"/>
        <v>#26</v>
      </c>
      <c r="E371" s="85">
        <f t="shared" si="74"/>
        <v>320</v>
      </c>
      <c r="F371" s="178">
        <f t="shared" si="76"/>
        <v>345</v>
      </c>
      <c r="G371" s="99">
        <f t="shared" si="77"/>
        <v>4.1399999999999997</v>
      </c>
      <c r="H371" s="85">
        <f t="shared" si="78"/>
        <v>1</v>
      </c>
      <c r="I371" s="99">
        <f t="shared" si="79"/>
        <v>99.539999999999978</v>
      </c>
    </row>
    <row r="372" spans="2:11" s="84" customFormat="1" x14ac:dyDescent="0.2">
      <c r="B372" s="322">
        <f t="shared" si="80"/>
        <v>27</v>
      </c>
      <c r="C372" s="85">
        <f t="shared" si="75"/>
        <v>26</v>
      </c>
      <c r="D372" s="85" t="str">
        <f t="shared" si="74"/>
        <v>#27</v>
      </c>
      <c r="E372" s="85">
        <f t="shared" si="74"/>
        <v>345</v>
      </c>
      <c r="F372" s="178">
        <f t="shared" si="76"/>
        <v>345</v>
      </c>
      <c r="G372" s="99">
        <f t="shared" si="77"/>
        <v>4.1399999999999997</v>
      </c>
      <c r="H372" s="85">
        <f t="shared" si="78"/>
        <v>1</v>
      </c>
      <c r="I372" s="99">
        <f t="shared" si="79"/>
        <v>103.67999999999998</v>
      </c>
    </row>
    <row r="373" spans="2:11" s="84" customFormat="1" x14ac:dyDescent="0.2">
      <c r="B373" s="322">
        <f t="shared" si="80"/>
        <v>28</v>
      </c>
      <c r="C373" s="85">
        <f t="shared" si="75"/>
        <v>12</v>
      </c>
      <c r="D373" s="85" t="str">
        <f t="shared" si="74"/>
        <v>#28</v>
      </c>
      <c r="E373" s="85">
        <f t="shared" si="74"/>
        <v>320</v>
      </c>
      <c r="F373" s="178">
        <f t="shared" si="76"/>
        <v>355</v>
      </c>
      <c r="G373" s="99">
        <f t="shared" si="77"/>
        <v>4.26</v>
      </c>
      <c r="H373" s="85">
        <f t="shared" si="78"/>
        <v>1</v>
      </c>
      <c r="I373" s="99">
        <f t="shared" si="79"/>
        <v>107.93999999999998</v>
      </c>
    </row>
    <row r="374" spans="2:11" s="84" customFormat="1" x14ac:dyDescent="0.2">
      <c r="D374" s="85"/>
      <c r="E374" s="85"/>
    </row>
    <row r="375" spans="2:11" s="99" customFormat="1" x14ac:dyDescent="0.2">
      <c r="D375" s="85"/>
      <c r="E375" s="85"/>
    </row>
    <row r="376" spans="2:11" s="99" customFormat="1" x14ac:dyDescent="0.2">
      <c r="D376" s="85"/>
      <c r="E376" s="85"/>
    </row>
    <row r="377" spans="2:11" s="99" customFormat="1" x14ac:dyDescent="0.2">
      <c r="B377" s="147" t="s">
        <v>443</v>
      </c>
      <c r="D377" s="85"/>
      <c r="E377" s="85"/>
      <c r="K377" s="134"/>
    </row>
    <row r="378" spans="2:11" s="99" customFormat="1" x14ac:dyDescent="0.2">
      <c r="C378" s="415" t="s">
        <v>310</v>
      </c>
      <c r="D378" s="415"/>
      <c r="E378" s="415"/>
      <c r="F378" s="415"/>
      <c r="G378" s="415"/>
      <c r="H378" s="415"/>
      <c r="I378" s="127">
        <f>IF(ISERROR(O298),0,O298)</f>
        <v>0.9254598257502421</v>
      </c>
    </row>
    <row r="379" spans="2:11" s="99" customFormat="1" x14ac:dyDescent="0.2">
      <c r="C379" s="415" t="s">
        <v>318</v>
      </c>
      <c r="D379" s="415"/>
      <c r="E379" s="415"/>
      <c r="F379" s="415"/>
      <c r="G379" s="415"/>
      <c r="H379" s="415"/>
      <c r="I379" s="127">
        <f>IF(ISERROR(O321),0,O321)</f>
        <v>0.93684210526315803</v>
      </c>
      <c r="K379" s="134"/>
    </row>
    <row r="380" spans="2:11" s="99" customFormat="1" x14ac:dyDescent="0.2">
      <c r="C380" s="415" t="s">
        <v>319</v>
      </c>
      <c r="D380" s="415"/>
      <c r="E380" s="415"/>
      <c r="F380" s="415"/>
      <c r="G380" s="415"/>
      <c r="H380" s="415"/>
      <c r="I380" s="127">
        <f>IF(ISERROR(O344),0,O344)</f>
        <v>0.93829905503057265</v>
      </c>
      <c r="K380" s="134"/>
    </row>
    <row r="381" spans="2:11" s="99" customFormat="1" x14ac:dyDescent="0.2">
      <c r="D381" s="85"/>
      <c r="E381" s="85"/>
    </row>
    <row r="382" spans="2:11" s="99" customFormat="1" x14ac:dyDescent="0.2">
      <c r="B382" s="147" t="s">
        <v>444</v>
      </c>
      <c r="D382" s="85"/>
      <c r="E382" s="85"/>
    </row>
    <row r="383" spans="2:11" x14ac:dyDescent="0.2">
      <c r="C383" s="416" t="s">
        <v>401</v>
      </c>
      <c r="D383" s="417"/>
      <c r="E383" s="417"/>
      <c r="F383" s="417"/>
      <c r="G383" s="417"/>
      <c r="H383" s="418"/>
      <c r="I383" s="98">
        <f>SUM(I378:I380)/3</f>
        <v>0.93353366201465759</v>
      </c>
    </row>
    <row r="385" spans="1:12" x14ac:dyDescent="0.2">
      <c r="B385" s="99" t="s">
        <v>402</v>
      </c>
    </row>
    <row r="386" spans="1:12" x14ac:dyDescent="0.2">
      <c r="C386" s="419" t="str">
        <f>Data!D253</f>
        <v>Number of emitters that supply water to each plant:</v>
      </c>
      <c r="D386" s="420"/>
      <c r="E386" s="420"/>
      <c r="F386" s="420"/>
      <c r="G386" s="420"/>
      <c r="H386" s="421"/>
      <c r="I386" s="97">
        <f>Data!E253</f>
        <v>8</v>
      </c>
    </row>
    <row r="388" spans="1:12" x14ac:dyDescent="0.2">
      <c r="B388" s="99" t="s">
        <v>403</v>
      </c>
    </row>
    <row r="389" spans="1:12" x14ac:dyDescent="0.2">
      <c r="C389" s="422" t="s">
        <v>404</v>
      </c>
      <c r="D389" s="423"/>
      <c r="E389" s="423"/>
      <c r="F389" s="423"/>
      <c r="G389" s="423"/>
      <c r="H389" s="424"/>
      <c r="I389" s="128">
        <f>1-(1/(I386^0.5))*(1-I383)</f>
        <v>0.97650060084496371</v>
      </c>
    </row>
    <row r="391" spans="1:12" s="332" customFormat="1" x14ac:dyDescent="0.2">
      <c r="A391" s="196" t="s">
        <v>890</v>
      </c>
    </row>
    <row r="392" spans="1:12" s="332" customFormat="1" x14ac:dyDescent="0.2">
      <c r="A392" s="196" t="s">
        <v>891</v>
      </c>
    </row>
    <row r="393" spans="1:12" s="332" customFormat="1" x14ac:dyDescent="0.2">
      <c r="A393" s="333"/>
      <c r="B393" s="334"/>
      <c r="C393" s="334"/>
      <c r="D393" s="334"/>
      <c r="E393" s="334"/>
      <c r="F393" s="334"/>
      <c r="G393" s="433" t="s">
        <v>892</v>
      </c>
      <c r="H393" s="434"/>
      <c r="I393" s="435"/>
      <c r="J393" s="333"/>
      <c r="K393" s="433" t="s">
        <v>893</v>
      </c>
      <c r="L393" s="435"/>
    </row>
    <row r="394" spans="1:12" s="332" customFormat="1" ht="28.5" x14ac:dyDescent="0.2">
      <c r="A394" s="335"/>
      <c r="B394" s="335"/>
      <c r="C394" s="335" t="s">
        <v>894</v>
      </c>
      <c r="D394" s="335" t="s">
        <v>895</v>
      </c>
      <c r="E394" s="335" t="s">
        <v>896</v>
      </c>
      <c r="F394" s="335" t="s">
        <v>897</v>
      </c>
      <c r="G394" s="336" t="s">
        <v>896</v>
      </c>
      <c r="H394" s="337" t="s">
        <v>897</v>
      </c>
      <c r="I394" s="338" t="s">
        <v>898</v>
      </c>
      <c r="J394" s="339" t="s">
        <v>899</v>
      </c>
      <c r="K394" s="340" t="s">
        <v>898</v>
      </c>
      <c r="L394" s="341" t="s">
        <v>897</v>
      </c>
    </row>
    <row r="395" spans="1:12" s="332" customFormat="1" x14ac:dyDescent="0.2">
      <c r="A395" s="411" t="s">
        <v>900</v>
      </c>
      <c r="B395" s="342">
        <v>1</v>
      </c>
      <c r="C395" s="343">
        <f t="shared" ref="C395:C410" si="81">D43</f>
        <v>300</v>
      </c>
      <c r="D395" s="343">
        <f>RANK(E395,$E$395:$E$454,1)</f>
        <v>4</v>
      </c>
      <c r="E395" s="344">
        <f>C395/AVERAGE($C$395:$C$410)</f>
        <v>0.92933204259438529</v>
      </c>
      <c r="F395" s="345">
        <f>60/16</f>
        <v>3.75</v>
      </c>
      <c r="G395" s="344">
        <f>IF(ISERROR(VLOOKUP(ROW(G395)-ROW($G$394),$D$395:$F$454,2,FALSE)),G394,VLOOKUP(ROW(G395)-ROW($G$394),$D$395:$F$454,2,FALSE))</f>
        <v>0.85603112840466922</v>
      </c>
      <c r="H395" s="344">
        <f>IF(ISERROR(VLOOKUP(ROW(H395)-ROW($G$394),$D$395:$F$454,3,FALSE)),H394,VLOOKUP(ROW(H395)-ROW($G$394),$D$395:$F$454,3,FALSE))</f>
        <v>2.1428571428571428</v>
      </c>
      <c r="I395" s="345">
        <f>G395*H395</f>
        <v>1.8343524180100055</v>
      </c>
      <c r="J395" s="346">
        <f>H395</f>
        <v>2.1428571428571428</v>
      </c>
      <c r="K395" s="342">
        <f t="shared" ref="K395:K454" si="82">IF(J395&lt;=$J$456,G395*H395,"")</f>
        <v>1.8343524180100055</v>
      </c>
      <c r="L395" s="345">
        <f t="shared" ref="L395:L454" si="83">IF(J395&lt;=$J$456,H395,"")</f>
        <v>2.1428571428571428</v>
      </c>
    </row>
    <row r="396" spans="1:12" s="332" customFormat="1" x14ac:dyDescent="0.2">
      <c r="A396" s="411"/>
      <c r="B396" s="347">
        <v>2</v>
      </c>
      <c r="C396" s="348">
        <f t="shared" si="81"/>
        <v>325</v>
      </c>
      <c r="D396" s="348">
        <f t="shared" ref="D396:D454" si="84">RANK(E396,$E$395:$E$454,1)</f>
        <v>31</v>
      </c>
      <c r="E396" s="349">
        <f t="shared" ref="E396:E410" si="85">C396/AVERAGE($C$395:$C$410)</f>
        <v>1.0067763794772506</v>
      </c>
      <c r="F396" s="350">
        <f t="shared" ref="F396:F426" si="86">60/16</f>
        <v>3.75</v>
      </c>
      <c r="G396" s="349">
        <f t="shared" ref="G396:G454" si="87">IF(ISERROR(VLOOKUP(ROW(G396)-ROW($G$394),$D$395:$F$454,2,FALSE)),G395,VLOOKUP(ROW(G396)-ROW($G$394),$D$395:$F$454,2,FALSE))</f>
        <v>0.88421052631578945</v>
      </c>
      <c r="H396" s="349">
        <f t="shared" ref="H396:H454" si="88">IF(ISERROR(VLOOKUP(ROW(H396)-ROW($G$394),$D$395:$F$454,3,FALSE)),H395,VLOOKUP(ROW(H396)-ROW($G$394),$D$395:$F$454,3,FALSE))</f>
        <v>3.75</v>
      </c>
      <c r="I396" s="350">
        <f t="shared" ref="I396:I454" si="89">G396*H396</f>
        <v>3.3157894736842106</v>
      </c>
      <c r="J396" s="351">
        <f t="shared" ref="J396:J454" si="90">J395+H396</f>
        <v>5.8928571428571423</v>
      </c>
      <c r="K396" s="347">
        <f t="shared" si="82"/>
        <v>3.3157894736842106</v>
      </c>
      <c r="L396" s="350">
        <f t="shared" si="83"/>
        <v>3.75</v>
      </c>
    </row>
    <row r="397" spans="1:12" s="332" customFormat="1" x14ac:dyDescent="0.2">
      <c r="A397" s="411"/>
      <c r="B397" s="347">
        <v>3</v>
      </c>
      <c r="C397" s="348">
        <f t="shared" si="81"/>
        <v>330</v>
      </c>
      <c r="D397" s="348">
        <f t="shared" si="84"/>
        <v>42</v>
      </c>
      <c r="E397" s="349">
        <f t="shared" si="85"/>
        <v>1.0222652468538238</v>
      </c>
      <c r="F397" s="350">
        <f t="shared" si="86"/>
        <v>3.75</v>
      </c>
      <c r="G397" s="349">
        <f t="shared" si="87"/>
        <v>0.91384317521781222</v>
      </c>
      <c r="H397" s="349">
        <f t="shared" si="88"/>
        <v>3.75</v>
      </c>
      <c r="I397" s="350">
        <f t="shared" si="89"/>
        <v>3.4269119070667959</v>
      </c>
      <c r="J397" s="351">
        <f t="shared" si="90"/>
        <v>9.6428571428571423</v>
      </c>
      <c r="K397" s="347">
        <f t="shared" si="82"/>
        <v>3.4269119070667959</v>
      </c>
      <c r="L397" s="350">
        <f t="shared" si="83"/>
        <v>3.75</v>
      </c>
    </row>
    <row r="398" spans="1:12" s="332" customFormat="1" x14ac:dyDescent="0.2">
      <c r="A398" s="411"/>
      <c r="B398" s="347">
        <v>4</v>
      </c>
      <c r="C398" s="348">
        <f t="shared" si="81"/>
        <v>305</v>
      </c>
      <c r="D398" s="348">
        <f t="shared" si="84"/>
        <v>7</v>
      </c>
      <c r="E398" s="349">
        <f t="shared" si="85"/>
        <v>0.94482090997095836</v>
      </c>
      <c r="F398" s="350">
        <f t="shared" si="86"/>
        <v>3.75</v>
      </c>
      <c r="G398" s="349">
        <f t="shared" si="87"/>
        <v>0.92933204259438529</v>
      </c>
      <c r="H398" s="349">
        <f t="shared" si="88"/>
        <v>3.75</v>
      </c>
      <c r="I398" s="350">
        <f t="shared" si="89"/>
        <v>3.4849951597289448</v>
      </c>
      <c r="J398" s="351">
        <f t="shared" si="90"/>
        <v>13.392857142857142</v>
      </c>
      <c r="K398" s="347">
        <f t="shared" si="82"/>
        <v>3.4849951597289448</v>
      </c>
      <c r="L398" s="350">
        <f t="shared" si="83"/>
        <v>3.75</v>
      </c>
    </row>
    <row r="399" spans="1:12" s="332" customFormat="1" x14ac:dyDescent="0.2">
      <c r="A399" s="411"/>
      <c r="B399" s="347">
        <v>5</v>
      </c>
      <c r="C399" s="348">
        <f t="shared" si="81"/>
        <v>325</v>
      </c>
      <c r="D399" s="348">
        <f t="shared" si="84"/>
        <v>31</v>
      </c>
      <c r="E399" s="349">
        <f t="shared" si="85"/>
        <v>1.0067763794772506</v>
      </c>
      <c r="F399" s="350">
        <f t="shared" si="86"/>
        <v>3.75</v>
      </c>
      <c r="G399" s="349">
        <f t="shared" si="87"/>
        <v>0.92933204259438529</v>
      </c>
      <c r="H399" s="349">
        <f t="shared" si="88"/>
        <v>3.75</v>
      </c>
      <c r="I399" s="350">
        <f t="shared" si="89"/>
        <v>3.4849951597289448</v>
      </c>
      <c r="J399" s="351">
        <f t="shared" si="90"/>
        <v>17.142857142857142</v>
      </c>
      <c r="K399" s="347">
        <f t="shared" si="82"/>
        <v>3.4849951597289448</v>
      </c>
      <c r="L399" s="350">
        <f t="shared" si="83"/>
        <v>3.75</v>
      </c>
    </row>
    <row r="400" spans="1:12" s="332" customFormat="1" x14ac:dyDescent="0.2">
      <c r="A400" s="411"/>
      <c r="B400" s="347">
        <v>6</v>
      </c>
      <c r="C400" s="348">
        <f t="shared" si="81"/>
        <v>335</v>
      </c>
      <c r="D400" s="348">
        <f t="shared" si="84"/>
        <v>48</v>
      </c>
      <c r="E400" s="349">
        <f t="shared" si="85"/>
        <v>1.037754114230397</v>
      </c>
      <c r="F400" s="350">
        <f t="shared" si="86"/>
        <v>3.75</v>
      </c>
      <c r="G400" s="349">
        <f t="shared" si="87"/>
        <v>0.92933204259438529</v>
      </c>
      <c r="H400" s="349">
        <f t="shared" si="88"/>
        <v>3.75</v>
      </c>
      <c r="I400" s="350">
        <f t="shared" si="89"/>
        <v>3.4849951597289448</v>
      </c>
      <c r="J400" s="351">
        <f t="shared" si="90"/>
        <v>20.892857142857142</v>
      </c>
      <c r="K400" s="347">
        <f t="shared" si="82"/>
        <v>3.4849951597289448</v>
      </c>
      <c r="L400" s="350">
        <f t="shared" si="83"/>
        <v>3.75</v>
      </c>
    </row>
    <row r="401" spans="1:12" s="332" customFormat="1" x14ac:dyDescent="0.2">
      <c r="A401" s="411"/>
      <c r="B401" s="347">
        <v>7</v>
      </c>
      <c r="C401" s="348">
        <f t="shared" si="81"/>
        <v>295</v>
      </c>
      <c r="D401" s="348">
        <f t="shared" si="84"/>
        <v>3</v>
      </c>
      <c r="E401" s="349">
        <f t="shared" si="85"/>
        <v>0.91384317521781222</v>
      </c>
      <c r="F401" s="350">
        <f t="shared" si="86"/>
        <v>3.75</v>
      </c>
      <c r="G401" s="349">
        <f t="shared" si="87"/>
        <v>0.94482090997095836</v>
      </c>
      <c r="H401" s="349">
        <f t="shared" si="88"/>
        <v>3.75</v>
      </c>
      <c r="I401" s="350">
        <f t="shared" si="89"/>
        <v>3.5430784123910937</v>
      </c>
      <c r="J401" s="351">
        <f t="shared" si="90"/>
        <v>24.642857142857142</v>
      </c>
      <c r="K401" s="347">
        <f t="shared" si="82"/>
        <v>3.5430784123910937</v>
      </c>
      <c r="L401" s="350">
        <f t="shared" si="83"/>
        <v>3.75</v>
      </c>
    </row>
    <row r="402" spans="1:12" s="332" customFormat="1" x14ac:dyDescent="0.2">
      <c r="A402" s="411"/>
      <c r="B402" s="347">
        <v>8</v>
      </c>
      <c r="C402" s="348">
        <f t="shared" si="81"/>
        <v>350</v>
      </c>
      <c r="D402" s="348">
        <f t="shared" si="84"/>
        <v>57</v>
      </c>
      <c r="E402" s="349">
        <f t="shared" si="85"/>
        <v>1.0842207163601161</v>
      </c>
      <c r="F402" s="350">
        <f t="shared" si="86"/>
        <v>3.75</v>
      </c>
      <c r="G402" s="349">
        <f t="shared" si="87"/>
        <v>0.94736842105263153</v>
      </c>
      <c r="H402" s="349">
        <f t="shared" si="88"/>
        <v>3.75</v>
      </c>
      <c r="I402" s="350">
        <f t="shared" si="89"/>
        <v>3.5526315789473681</v>
      </c>
      <c r="J402" s="351">
        <f t="shared" si="90"/>
        <v>28.392857142857142</v>
      </c>
      <c r="K402" s="347">
        <f t="shared" si="82"/>
        <v>3.5526315789473681</v>
      </c>
      <c r="L402" s="350">
        <f t="shared" si="83"/>
        <v>3.75</v>
      </c>
    </row>
    <row r="403" spans="1:12" s="332" customFormat="1" x14ac:dyDescent="0.2">
      <c r="A403" s="411"/>
      <c r="B403" s="347">
        <v>9</v>
      </c>
      <c r="C403" s="348">
        <f t="shared" si="81"/>
        <v>335</v>
      </c>
      <c r="D403" s="348">
        <f t="shared" si="84"/>
        <v>48</v>
      </c>
      <c r="E403" s="349">
        <f t="shared" si="85"/>
        <v>1.037754114230397</v>
      </c>
      <c r="F403" s="350">
        <f t="shared" si="86"/>
        <v>3.75</v>
      </c>
      <c r="G403" s="349">
        <f t="shared" si="87"/>
        <v>0.94736842105263153</v>
      </c>
      <c r="H403" s="349">
        <f t="shared" si="88"/>
        <v>3.75</v>
      </c>
      <c r="I403" s="350">
        <f t="shared" si="89"/>
        <v>3.5526315789473681</v>
      </c>
      <c r="J403" s="351">
        <f t="shared" si="90"/>
        <v>32.142857142857139</v>
      </c>
      <c r="K403" s="347">
        <f t="shared" si="82"/>
        <v>3.5526315789473681</v>
      </c>
      <c r="L403" s="350">
        <f t="shared" si="83"/>
        <v>3.75</v>
      </c>
    </row>
    <row r="404" spans="1:12" s="332" customFormat="1" x14ac:dyDescent="0.2">
      <c r="A404" s="411"/>
      <c r="B404" s="347">
        <v>10</v>
      </c>
      <c r="C404" s="348">
        <f t="shared" si="81"/>
        <v>325</v>
      </c>
      <c r="D404" s="348">
        <f t="shared" si="84"/>
        <v>31</v>
      </c>
      <c r="E404" s="349">
        <f t="shared" si="85"/>
        <v>1.0067763794772506</v>
      </c>
      <c r="F404" s="350">
        <f t="shared" si="86"/>
        <v>3.75</v>
      </c>
      <c r="G404" s="349">
        <f t="shared" si="87"/>
        <v>0.94941634241245132</v>
      </c>
      <c r="H404" s="349">
        <f t="shared" si="88"/>
        <v>2.1428571428571428</v>
      </c>
      <c r="I404" s="350">
        <f t="shared" si="89"/>
        <v>2.0344635908838242</v>
      </c>
      <c r="J404" s="351">
        <f t="shared" si="90"/>
        <v>34.285714285714285</v>
      </c>
      <c r="K404" s="347">
        <f t="shared" si="82"/>
        <v>2.0344635908838242</v>
      </c>
      <c r="L404" s="350">
        <f t="shared" si="83"/>
        <v>2.1428571428571428</v>
      </c>
    </row>
    <row r="405" spans="1:12" s="332" customFormat="1" x14ac:dyDescent="0.2">
      <c r="A405" s="411"/>
      <c r="B405" s="347">
        <v>11</v>
      </c>
      <c r="C405" s="348">
        <f t="shared" si="81"/>
        <v>315</v>
      </c>
      <c r="D405" s="348">
        <f t="shared" si="84"/>
        <v>19</v>
      </c>
      <c r="E405" s="349">
        <f t="shared" si="85"/>
        <v>0.9757986447241046</v>
      </c>
      <c r="F405" s="350">
        <f t="shared" si="86"/>
        <v>3.75</v>
      </c>
      <c r="G405" s="349">
        <f t="shared" si="87"/>
        <v>0.94941634241245132</v>
      </c>
      <c r="H405" s="349">
        <f t="shared" si="88"/>
        <v>2.1428571428571428</v>
      </c>
      <c r="I405" s="350">
        <f t="shared" si="89"/>
        <v>2.0344635908838242</v>
      </c>
      <c r="J405" s="351">
        <f t="shared" si="90"/>
        <v>36.428571428571431</v>
      </c>
      <c r="K405" s="347">
        <f t="shared" si="82"/>
        <v>2.0344635908838242</v>
      </c>
      <c r="L405" s="350">
        <f t="shared" si="83"/>
        <v>2.1428571428571428</v>
      </c>
    </row>
    <row r="406" spans="1:12" s="332" customFormat="1" x14ac:dyDescent="0.2">
      <c r="A406" s="411"/>
      <c r="B406" s="347">
        <v>12</v>
      </c>
      <c r="C406" s="348">
        <f t="shared" si="81"/>
        <v>300</v>
      </c>
      <c r="D406" s="348">
        <f t="shared" si="84"/>
        <v>4</v>
      </c>
      <c r="E406" s="349">
        <f t="shared" si="85"/>
        <v>0.92933204259438529</v>
      </c>
      <c r="F406" s="350">
        <f t="shared" si="86"/>
        <v>3.75</v>
      </c>
      <c r="G406" s="349">
        <f t="shared" si="87"/>
        <v>0.94941634241245132</v>
      </c>
      <c r="H406" s="349">
        <f t="shared" si="88"/>
        <v>2.1428571428571428</v>
      </c>
      <c r="I406" s="350">
        <f t="shared" si="89"/>
        <v>2.0344635908838242</v>
      </c>
      <c r="J406" s="351">
        <f t="shared" si="90"/>
        <v>38.571428571428577</v>
      </c>
      <c r="K406" s="347">
        <f t="shared" si="82"/>
        <v>2.0344635908838242</v>
      </c>
      <c r="L406" s="350">
        <f t="shared" si="83"/>
        <v>2.1428571428571428</v>
      </c>
    </row>
    <row r="407" spans="1:12" s="332" customFormat="1" x14ac:dyDescent="0.2">
      <c r="A407" s="411"/>
      <c r="B407" s="347">
        <v>13</v>
      </c>
      <c r="C407" s="348">
        <f t="shared" si="81"/>
        <v>315</v>
      </c>
      <c r="D407" s="348">
        <f t="shared" si="84"/>
        <v>19</v>
      </c>
      <c r="E407" s="349">
        <f t="shared" si="85"/>
        <v>0.9757986447241046</v>
      </c>
      <c r="F407" s="350">
        <f t="shared" si="86"/>
        <v>3.75</v>
      </c>
      <c r="G407" s="349">
        <f t="shared" si="87"/>
        <v>0.94941634241245132</v>
      </c>
      <c r="H407" s="349">
        <f t="shared" si="88"/>
        <v>2.1428571428571428</v>
      </c>
      <c r="I407" s="350">
        <f t="shared" si="89"/>
        <v>2.0344635908838242</v>
      </c>
      <c r="J407" s="351">
        <f t="shared" si="90"/>
        <v>40.714285714285722</v>
      </c>
      <c r="K407" s="347">
        <f t="shared" si="82"/>
        <v>2.0344635908838242</v>
      </c>
      <c r="L407" s="350">
        <f t="shared" si="83"/>
        <v>2.1428571428571428</v>
      </c>
    </row>
    <row r="408" spans="1:12" s="332" customFormat="1" x14ac:dyDescent="0.2">
      <c r="A408" s="411"/>
      <c r="B408" s="347">
        <v>14</v>
      </c>
      <c r="C408" s="348">
        <f t="shared" si="81"/>
        <v>400</v>
      </c>
      <c r="D408" s="348">
        <f t="shared" si="84"/>
        <v>60</v>
      </c>
      <c r="E408" s="349">
        <f t="shared" si="85"/>
        <v>1.239109390125847</v>
      </c>
      <c r="F408" s="350">
        <f t="shared" si="86"/>
        <v>3.75</v>
      </c>
      <c r="G408" s="349">
        <f t="shared" si="87"/>
        <v>0.94941634241245132</v>
      </c>
      <c r="H408" s="349">
        <f t="shared" si="88"/>
        <v>2.1428571428571428</v>
      </c>
      <c r="I408" s="350">
        <f t="shared" si="89"/>
        <v>2.0344635908838242</v>
      </c>
      <c r="J408" s="351">
        <f t="shared" si="90"/>
        <v>42.857142857142868</v>
      </c>
      <c r="K408" s="347">
        <f t="shared" si="82"/>
        <v>2.0344635908838242</v>
      </c>
      <c r="L408" s="350">
        <f t="shared" si="83"/>
        <v>2.1428571428571428</v>
      </c>
    </row>
    <row r="409" spans="1:12" s="332" customFormat="1" x14ac:dyDescent="0.2">
      <c r="A409" s="411"/>
      <c r="B409" s="347">
        <v>15</v>
      </c>
      <c r="C409" s="348">
        <f t="shared" si="81"/>
        <v>310</v>
      </c>
      <c r="D409" s="348">
        <f t="shared" si="84"/>
        <v>15</v>
      </c>
      <c r="E409" s="349">
        <f t="shared" si="85"/>
        <v>0.96030977734753142</v>
      </c>
      <c r="F409" s="350">
        <f t="shared" si="86"/>
        <v>3.75</v>
      </c>
      <c r="G409" s="349">
        <f t="shared" si="87"/>
        <v>0.96030977734753142</v>
      </c>
      <c r="H409" s="349">
        <f t="shared" si="88"/>
        <v>3.75</v>
      </c>
      <c r="I409" s="350">
        <f t="shared" si="89"/>
        <v>3.601161665053243</v>
      </c>
      <c r="J409" s="351">
        <f t="shared" si="90"/>
        <v>46.607142857142868</v>
      </c>
      <c r="K409" s="347" t="str">
        <f t="shared" si="82"/>
        <v/>
      </c>
      <c r="L409" s="350" t="str">
        <f t="shared" si="83"/>
        <v/>
      </c>
    </row>
    <row r="410" spans="1:12" s="332" customFormat="1" x14ac:dyDescent="0.2">
      <c r="A410" s="411"/>
      <c r="B410" s="352">
        <v>16</v>
      </c>
      <c r="C410" s="353">
        <f t="shared" si="81"/>
        <v>300</v>
      </c>
      <c r="D410" s="353">
        <f t="shared" si="84"/>
        <v>4</v>
      </c>
      <c r="E410" s="354">
        <f t="shared" si="85"/>
        <v>0.92933204259438529</v>
      </c>
      <c r="F410" s="355">
        <f t="shared" si="86"/>
        <v>3.75</v>
      </c>
      <c r="G410" s="349">
        <f t="shared" si="87"/>
        <v>0.96498054474708173</v>
      </c>
      <c r="H410" s="349">
        <f t="shared" si="88"/>
        <v>2.1428571428571428</v>
      </c>
      <c r="I410" s="350">
        <f t="shared" si="89"/>
        <v>2.0678154530294606</v>
      </c>
      <c r="J410" s="351">
        <f t="shared" si="90"/>
        <v>48.750000000000014</v>
      </c>
      <c r="K410" s="347" t="str">
        <f t="shared" si="82"/>
        <v/>
      </c>
      <c r="L410" s="350" t="str">
        <f t="shared" si="83"/>
        <v/>
      </c>
    </row>
    <row r="411" spans="1:12" s="332" customFormat="1" x14ac:dyDescent="0.2">
      <c r="A411" s="412" t="s">
        <v>901</v>
      </c>
      <c r="B411" s="347">
        <v>17</v>
      </c>
      <c r="C411" s="348">
        <f t="shared" ref="C411:C426" si="91">D79</f>
        <v>450</v>
      </c>
      <c r="D411" s="348">
        <f t="shared" si="84"/>
        <v>8</v>
      </c>
      <c r="E411" s="349">
        <f>C411/AVERAGE($C$411:$C$426)</f>
        <v>0.94736842105263153</v>
      </c>
      <c r="F411" s="350">
        <f t="shared" si="86"/>
        <v>3.75</v>
      </c>
      <c r="G411" s="349">
        <f t="shared" si="87"/>
        <v>0.96842105263157896</v>
      </c>
      <c r="H411" s="349">
        <f t="shared" si="88"/>
        <v>3.75</v>
      </c>
      <c r="I411" s="350">
        <f t="shared" si="89"/>
        <v>3.6315789473684212</v>
      </c>
      <c r="J411" s="351">
        <f t="shared" si="90"/>
        <v>52.500000000000014</v>
      </c>
      <c r="K411" s="347" t="str">
        <f t="shared" si="82"/>
        <v/>
      </c>
      <c r="L411" s="350" t="str">
        <f t="shared" si="83"/>
        <v/>
      </c>
    </row>
    <row r="412" spans="1:12" s="332" customFormat="1" x14ac:dyDescent="0.2">
      <c r="A412" s="413"/>
      <c r="B412" s="347">
        <v>18</v>
      </c>
      <c r="C412" s="348">
        <f t="shared" si="91"/>
        <v>480</v>
      </c>
      <c r="D412" s="348">
        <f t="shared" si="84"/>
        <v>34</v>
      </c>
      <c r="E412" s="349">
        <f t="shared" ref="E412:E426" si="92">C412/AVERAGE($C$411:$C$426)</f>
        <v>1.0105263157894737</v>
      </c>
      <c r="F412" s="350">
        <f t="shared" si="86"/>
        <v>3.75</v>
      </c>
      <c r="G412" s="349">
        <f t="shared" si="87"/>
        <v>0.96842105263157896</v>
      </c>
      <c r="H412" s="349">
        <f t="shared" si="88"/>
        <v>3.75</v>
      </c>
      <c r="I412" s="350">
        <f t="shared" si="89"/>
        <v>3.6315789473684212</v>
      </c>
      <c r="J412" s="351">
        <f t="shared" si="90"/>
        <v>56.250000000000014</v>
      </c>
      <c r="K412" s="347" t="str">
        <f t="shared" si="82"/>
        <v/>
      </c>
      <c r="L412" s="350" t="str">
        <f t="shared" si="83"/>
        <v/>
      </c>
    </row>
    <row r="413" spans="1:12" s="332" customFormat="1" x14ac:dyDescent="0.2">
      <c r="A413" s="413"/>
      <c r="B413" s="347">
        <v>19</v>
      </c>
      <c r="C413" s="348">
        <f t="shared" si="91"/>
        <v>470</v>
      </c>
      <c r="D413" s="348">
        <f t="shared" si="84"/>
        <v>25</v>
      </c>
      <c r="E413" s="349">
        <f t="shared" si="92"/>
        <v>0.98947368421052628</v>
      </c>
      <c r="F413" s="350">
        <f t="shared" si="86"/>
        <v>3.75</v>
      </c>
      <c r="G413" s="349">
        <f t="shared" si="87"/>
        <v>0.9757986447241046</v>
      </c>
      <c r="H413" s="349">
        <f t="shared" si="88"/>
        <v>3.75</v>
      </c>
      <c r="I413" s="350">
        <f t="shared" si="89"/>
        <v>3.6592449177153923</v>
      </c>
      <c r="J413" s="351">
        <f t="shared" si="90"/>
        <v>60.000000000000014</v>
      </c>
      <c r="K413" s="347" t="str">
        <f t="shared" si="82"/>
        <v/>
      </c>
      <c r="L413" s="350" t="str">
        <f t="shared" si="83"/>
        <v/>
      </c>
    </row>
    <row r="414" spans="1:12" s="332" customFormat="1" x14ac:dyDescent="0.2">
      <c r="A414" s="413"/>
      <c r="B414" s="347">
        <v>20</v>
      </c>
      <c r="C414" s="348">
        <f t="shared" si="91"/>
        <v>520</v>
      </c>
      <c r="D414" s="348">
        <f t="shared" si="84"/>
        <v>58</v>
      </c>
      <c r="E414" s="349">
        <f t="shared" si="92"/>
        <v>1.0947368421052632</v>
      </c>
      <c r="F414" s="350">
        <f t="shared" si="86"/>
        <v>3.75</v>
      </c>
      <c r="G414" s="349">
        <f t="shared" si="87"/>
        <v>0.9757986447241046</v>
      </c>
      <c r="H414" s="349">
        <f t="shared" si="88"/>
        <v>3.75</v>
      </c>
      <c r="I414" s="350">
        <f t="shared" si="89"/>
        <v>3.6592449177153923</v>
      </c>
      <c r="J414" s="351">
        <f t="shared" si="90"/>
        <v>63.750000000000014</v>
      </c>
      <c r="K414" s="347" t="str">
        <f t="shared" si="82"/>
        <v/>
      </c>
      <c r="L414" s="350" t="str">
        <f t="shared" si="83"/>
        <v/>
      </c>
    </row>
    <row r="415" spans="1:12" s="332" customFormat="1" x14ac:dyDescent="0.2">
      <c r="A415" s="413"/>
      <c r="B415" s="347">
        <v>21</v>
      </c>
      <c r="C415" s="348">
        <f t="shared" si="91"/>
        <v>450</v>
      </c>
      <c r="D415" s="348">
        <f t="shared" si="84"/>
        <v>8</v>
      </c>
      <c r="E415" s="349">
        <f t="shared" si="92"/>
        <v>0.94736842105263153</v>
      </c>
      <c r="F415" s="350">
        <f t="shared" si="86"/>
        <v>3.75</v>
      </c>
      <c r="G415" s="349">
        <f t="shared" si="87"/>
        <v>0.98054474708171202</v>
      </c>
      <c r="H415" s="349">
        <f t="shared" si="88"/>
        <v>2.1428571428571428</v>
      </c>
      <c r="I415" s="350">
        <f t="shared" si="89"/>
        <v>2.1011673151750969</v>
      </c>
      <c r="J415" s="351">
        <f t="shared" si="90"/>
        <v>65.892857142857153</v>
      </c>
      <c r="K415" s="347" t="str">
        <f t="shared" si="82"/>
        <v/>
      </c>
      <c r="L415" s="350" t="str">
        <f t="shared" si="83"/>
        <v/>
      </c>
    </row>
    <row r="416" spans="1:12" s="332" customFormat="1" x14ac:dyDescent="0.2">
      <c r="A416" s="413"/>
      <c r="B416" s="347">
        <v>22</v>
      </c>
      <c r="C416" s="348">
        <f t="shared" si="91"/>
        <v>490</v>
      </c>
      <c r="D416" s="348">
        <f t="shared" si="84"/>
        <v>47</v>
      </c>
      <c r="E416" s="349">
        <f t="shared" si="92"/>
        <v>1.0315789473684212</v>
      </c>
      <c r="F416" s="350">
        <f t="shared" si="86"/>
        <v>3.75</v>
      </c>
      <c r="G416" s="349">
        <f t="shared" si="87"/>
        <v>0.98054474708171202</v>
      </c>
      <c r="H416" s="349">
        <f t="shared" si="88"/>
        <v>2.1428571428571428</v>
      </c>
      <c r="I416" s="350">
        <f t="shared" si="89"/>
        <v>2.1011673151750969</v>
      </c>
      <c r="J416" s="351">
        <f t="shared" si="90"/>
        <v>68.035714285714292</v>
      </c>
      <c r="K416" s="347" t="str">
        <f t="shared" si="82"/>
        <v/>
      </c>
      <c r="L416" s="350" t="str">
        <f t="shared" si="83"/>
        <v/>
      </c>
    </row>
    <row r="417" spans="1:12" s="332" customFormat="1" x14ac:dyDescent="0.2">
      <c r="A417" s="413"/>
      <c r="B417" s="347">
        <v>23</v>
      </c>
      <c r="C417" s="348">
        <f t="shared" si="91"/>
        <v>500</v>
      </c>
      <c r="D417" s="348">
        <f t="shared" si="84"/>
        <v>52</v>
      </c>
      <c r="E417" s="349">
        <f t="shared" si="92"/>
        <v>1.0526315789473684</v>
      </c>
      <c r="F417" s="350">
        <f t="shared" si="86"/>
        <v>3.75</v>
      </c>
      <c r="G417" s="349">
        <f t="shared" si="87"/>
        <v>0.98054474708171202</v>
      </c>
      <c r="H417" s="349">
        <f t="shared" si="88"/>
        <v>2.1428571428571428</v>
      </c>
      <c r="I417" s="350">
        <f t="shared" si="89"/>
        <v>2.1011673151750969</v>
      </c>
      <c r="J417" s="351">
        <f t="shared" si="90"/>
        <v>70.178571428571431</v>
      </c>
      <c r="K417" s="347" t="str">
        <f t="shared" si="82"/>
        <v/>
      </c>
      <c r="L417" s="350" t="str">
        <f t="shared" si="83"/>
        <v/>
      </c>
    </row>
    <row r="418" spans="1:12" s="332" customFormat="1" x14ac:dyDescent="0.2">
      <c r="A418" s="413"/>
      <c r="B418" s="347">
        <v>24</v>
      </c>
      <c r="C418" s="348">
        <f t="shared" si="91"/>
        <v>480</v>
      </c>
      <c r="D418" s="348">
        <f t="shared" si="84"/>
        <v>34</v>
      </c>
      <c r="E418" s="349">
        <f t="shared" si="92"/>
        <v>1.0105263157894737</v>
      </c>
      <c r="F418" s="350">
        <f t="shared" si="86"/>
        <v>3.75</v>
      </c>
      <c r="G418" s="349">
        <f t="shared" si="87"/>
        <v>0.98054474708171202</v>
      </c>
      <c r="H418" s="349">
        <f t="shared" si="88"/>
        <v>2.1428571428571428</v>
      </c>
      <c r="I418" s="350">
        <f t="shared" si="89"/>
        <v>2.1011673151750969</v>
      </c>
      <c r="J418" s="351">
        <f t="shared" si="90"/>
        <v>72.321428571428569</v>
      </c>
      <c r="K418" s="347" t="str">
        <f t="shared" si="82"/>
        <v/>
      </c>
      <c r="L418" s="350" t="str">
        <f t="shared" si="83"/>
        <v/>
      </c>
    </row>
    <row r="419" spans="1:12" s="332" customFormat="1" x14ac:dyDescent="0.2">
      <c r="A419" s="413"/>
      <c r="B419" s="347">
        <v>25</v>
      </c>
      <c r="C419" s="348">
        <f t="shared" si="91"/>
        <v>500</v>
      </c>
      <c r="D419" s="348">
        <f t="shared" si="84"/>
        <v>52</v>
      </c>
      <c r="E419" s="349">
        <f t="shared" si="92"/>
        <v>1.0526315789473684</v>
      </c>
      <c r="F419" s="350">
        <f t="shared" si="86"/>
        <v>3.75</v>
      </c>
      <c r="G419" s="349">
        <f t="shared" si="87"/>
        <v>0.98947368421052628</v>
      </c>
      <c r="H419" s="349">
        <f t="shared" si="88"/>
        <v>3.75</v>
      </c>
      <c r="I419" s="350">
        <f t="shared" si="89"/>
        <v>3.7105263157894735</v>
      </c>
      <c r="J419" s="351">
        <f t="shared" si="90"/>
        <v>76.071428571428569</v>
      </c>
      <c r="K419" s="347" t="str">
        <f t="shared" si="82"/>
        <v/>
      </c>
      <c r="L419" s="350" t="str">
        <f t="shared" si="83"/>
        <v/>
      </c>
    </row>
    <row r="420" spans="1:12" s="332" customFormat="1" x14ac:dyDescent="0.2">
      <c r="A420" s="413"/>
      <c r="B420" s="347">
        <v>26</v>
      </c>
      <c r="C420" s="348">
        <f t="shared" si="91"/>
        <v>460</v>
      </c>
      <c r="D420" s="348">
        <f t="shared" si="84"/>
        <v>17</v>
      </c>
      <c r="E420" s="349">
        <f t="shared" si="92"/>
        <v>0.96842105263157896</v>
      </c>
      <c r="F420" s="350">
        <f t="shared" si="86"/>
        <v>3.75</v>
      </c>
      <c r="G420" s="349">
        <f t="shared" si="87"/>
        <v>0.99610894941634243</v>
      </c>
      <c r="H420" s="349">
        <f t="shared" si="88"/>
        <v>2.1428571428571428</v>
      </c>
      <c r="I420" s="350">
        <f t="shared" si="89"/>
        <v>2.1345191773207337</v>
      </c>
      <c r="J420" s="351">
        <f t="shared" si="90"/>
        <v>78.214285714285708</v>
      </c>
      <c r="K420" s="347" t="str">
        <f t="shared" si="82"/>
        <v/>
      </c>
      <c r="L420" s="350" t="str">
        <f t="shared" si="83"/>
        <v/>
      </c>
    </row>
    <row r="421" spans="1:12" s="332" customFormat="1" x14ac:dyDescent="0.2">
      <c r="A421" s="413"/>
      <c r="B421" s="347">
        <v>27</v>
      </c>
      <c r="C421" s="348">
        <f t="shared" si="91"/>
        <v>420</v>
      </c>
      <c r="D421" s="348">
        <f t="shared" si="84"/>
        <v>2</v>
      </c>
      <c r="E421" s="349">
        <f t="shared" si="92"/>
        <v>0.88421052631578945</v>
      </c>
      <c r="F421" s="350">
        <f t="shared" si="86"/>
        <v>3.75</v>
      </c>
      <c r="G421" s="349">
        <f t="shared" si="87"/>
        <v>0.99610894941634243</v>
      </c>
      <c r="H421" s="349">
        <f t="shared" si="88"/>
        <v>2.1428571428571428</v>
      </c>
      <c r="I421" s="350">
        <f t="shared" si="89"/>
        <v>2.1345191773207337</v>
      </c>
      <c r="J421" s="351">
        <f t="shared" si="90"/>
        <v>80.357142857142847</v>
      </c>
      <c r="K421" s="347" t="str">
        <f t="shared" si="82"/>
        <v/>
      </c>
      <c r="L421" s="350" t="str">
        <f t="shared" si="83"/>
        <v/>
      </c>
    </row>
    <row r="422" spans="1:12" s="332" customFormat="1" x14ac:dyDescent="0.2">
      <c r="A422" s="413"/>
      <c r="B422" s="347">
        <v>28</v>
      </c>
      <c r="C422" s="348">
        <f t="shared" si="91"/>
        <v>480</v>
      </c>
      <c r="D422" s="348">
        <f t="shared" si="84"/>
        <v>34</v>
      </c>
      <c r="E422" s="349">
        <f t="shared" si="92"/>
        <v>1.0105263157894737</v>
      </c>
      <c r="F422" s="350">
        <f t="shared" si="86"/>
        <v>3.75</v>
      </c>
      <c r="G422" s="349">
        <f t="shared" si="87"/>
        <v>0.99610894941634243</v>
      </c>
      <c r="H422" s="349">
        <f t="shared" si="88"/>
        <v>2.1428571428571428</v>
      </c>
      <c r="I422" s="350">
        <f t="shared" si="89"/>
        <v>2.1345191773207337</v>
      </c>
      <c r="J422" s="351">
        <f t="shared" si="90"/>
        <v>82.499999999999986</v>
      </c>
      <c r="K422" s="347" t="str">
        <f t="shared" si="82"/>
        <v/>
      </c>
      <c r="L422" s="350" t="str">
        <f t="shared" si="83"/>
        <v/>
      </c>
    </row>
    <row r="423" spans="1:12" s="332" customFormat="1" x14ac:dyDescent="0.2">
      <c r="A423" s="413"/>
      <c r="B423" s="347">
        <v>29</v>
      </c>
      <c r="C423" s="348">
        <f t="shared" si="91"/>
        <v>460</v>
      </c>
      <c r="D423" s="348">
        <f t="shared" si="84"/>
        <v>17</v>
      </c>
      <c r="E423" s="349">
        <f t="shared" si="92"/>
        <v>0.96842105263157896</v>
      </c>
      <c r="F423" s="350">
        <f t="shared" si="86"/>
        <v>3.75</v>
      </c>
      <c r="G423" s="349">
        <f t="shared" si="87"/>
        <v>0.99610894941634243</v>
      </c>
      <c r="H423" s="349">
        <f t="shared" si="88"/>
        <v>2.1428571428571428</v>
      </c>
      <c r="I423" s="350">
        <f t="shared" si="89"/>
        <v>2.1345191773207337</v>
      </c>
      <c r="J423" s="351">
        <f t="shared" si="90"/>
        <v>84.642857142857125</v>
      </c>
      <c r="K423" s="347" t="str">
        <f t="shared" si="82"/>
        <v/>
      </c>
      <c r="L423" s="350" t="str">
        <f t="shared" si="83"/>
        <v/>
      </c>
    </row>
    <row r="424" spans="1:12" s="332" customFormat="1" x14ac:dyDescent="0.2">
      <c r="A424" s="413"/>
      <c r="B424" s="347">
        <v>30</v>
      </c>
      <c r="C424" s="348">
        <f t="shared" si="91"/>
        <v>480</v>
      </c>
      <c r="D424" s="348">
        <f t="shared" si="84"/>
        <v>34</v>
      </c>
      <c r="E424" s="349">
        <f t="shared" si="92"/>
        <v>1.0105263157894737</v>
      </c>
      <c r="F424" s="350">
        <f t="shared" si="86"/>
        <v>3.75</v>
      </c>
      <c r="G424" s="349">
        <f t="shared" si="87"/>
        <v>0.99610894941634243</v>
      </c>
      <c r="H424" s="349">
        <f t="shared" si="88"/>
        <v>2.1428571428571428</v>
      </c>
      <c r="I424" s="350">
        <f t="shared" si="89"/>
        <v>2.1345191773207337</v>
      </c>
      <c r="J424" s="351">
        <f t="shared" si="90"/>
        <v>86.785714285714263</v>
      </c>
      <c r="K424" s="347" t="str">
        <f t="shared" si="82"/>
        <v/>
      </c>
      <c r="L424" s="350" t="str">
        <f t="shared" si="83"/>
        <v/>
      </c>
    </row>
    <row r="425" spans="1:12" s="332" customFormat="1" x14ac:dyDescent="0.2">
      <c r="A425" s="413"/>
      <c r="B425" s="347">
        <v>31</v>
      </c>
      <c r="C425" s="348">
        <f t="shared" si="91"/>
        <v>480</v>
      </c>
      <c r="D425" s="348">
        <f t="shared" si="84"/>
        <v>34</v>
      </c>
      <c r="E425" s="349">
        <f t="shared" si="92"/>
        <v>1.0105263157894737</v>
      </c>
      <c r="F425" s="350">
        <f>60/16</f>
        <v>3.75</v>
      </c>
      <c r="G425" s="349">
        <f t="shared" si="87"/>
        <v>1.0067763794772506</v>
      </c>
      <c r="H425" s="349">
        <f t="shared" si="88"/>
        <v>3.75</v>
      </c>
      <c r="I425" s="350">
        <f t="shared" si="89"/>
        <v>3.77541142303969</v>
      </c>
      <c r="J425" s="351">
        <f t="shared" si="90"/>
        <v>90.535714285714263</v>
      </c>
      <c r="K425" s="347" t="str">
        <f t="shared" si="82"/>
        <v/>
      </c>
      <c r="L425" s="350" t="str">
        <f t="shared" si="83"/>
        <v/>
      </c>
    </row>
    <row r="426" spans="1:12" s="332" customFormat="1" x14ac:dyDescent="0.2">
      <c r="A426" s="414"/>
      <c r="B426" s="352">
        <v>32</v>
      </c>
      <c r="C426" s="353">
        <f t="shared" si="91"/>
        <v>480</v>
      </c>
      <c r="D426" s="353">
        <f t="shared" si="84"/>
        <v>34</v>
      </c>
      <c r="E426" s="354">
        <f t="shared" si="92"/>
        <v>1.0105263157894737</v>
      </c>
      <c r="F426" s="355">
        <f t="shared" si="86"/>
        <v>3.75</v>
      </c>
      <c r="G426" s="349">
        <f t="shared" si="87"/>
        <v>1.0067763794772506</v>
      </c>
      <c r="H426" s="349">
        <f t="shared" si="88"/>
        <v>3.75</v>
      </c>
      <c r="I426" s="350">
        <f t="shared" si="89"/>
        <v>3.77541142303969</v>
      </c>
      <c r="J426" s="351">
        <f t="shared" si="90"/>
        <v>94.285714285714263</v>
      </c>
      <c r="K426" s="347" t="str">
        <f t="shared" si="82"/>
        <v/>
      </c>
      <c r="L426" s="350" t="str">
        <f t="shared" si="83"/>
        <v/>
      </c>
    </row>
    <row r="427" spans="1:12" s="332" customFormat="1" x14ac:dyDescent="0.2">
      <c r="A427" s="412" t="s">
        <v>902</v>
      </c>
      <c r="B427" s="347">
        <v>33</v>
      </c>
      <c r="C427" s="348">
        <f>D102</f>
        <v>305</v>
      </c>
      <c r="D427" s="348">
        <f t="shared" si="84"/>
        <v>10</v>
      </c>
      <c r="E427" s="349">
        <f>C427/AVERAGE($C$427:$C$454)</f>
        <v>0.94941634241245132</v>
      </c>
      <c r="F427" s="350">
        <f>60/28</f>
        <v>2.1428571428571428</v>
      </c>
      <c r="G427" s="349">
        <f t="shared" si="87"/>
        <v>1.0067763794772506</v>
      </c>
      <c r="H427" s="349">
        <f t="shared" si="88"/>
        <v>3.75</v>
      </c>
      <c r="I427" s="350">
        <f t="shared" si="89"/>
        <v>3.77541142303969</v>
      </c>
      <c r="J427" s="351">
        <f t="shared" si="90"/>
        <v>98.035714285714263</v>
      </c>
      <c r="K427" s="347" t="str">
        <f t="shared" si="82"/>
        <v/>
      </c>
      <c r="L427" s="350" t="str">
        <f t="shared" si="83"/>
        <v/>
      </c>
    </row>
    <row r="428" spans="1:12" s="332" customFormat="1" x14ac:dyDescent="0.2">
      <c r="A428" s="413"/>
      <c r="B428" s="347">
        <v>34</v>
      </c>
      <c r="C428" s="348">
        <f t="shared" ref="C428:C454" si="93">D103</f>
        <v>320</v>
      </c>
      <c r="D428" s="348">
        <f t="shared" si="84"/>
        <v>26</v>
      </c>
      <c r="E428" s="349">
        <f t="shared" ref="E428:E454" si="94">C428/AVERAGE($C$427:$C$454)</f>
        <v>0.99610894941634243</v>
      </c>
      <c r="F428" s="350">
        <f t="shared" ref="F428:F454" si="95">60/28</f>
        <v>2.1428571428571428</v>
      </c>
      <c r="G428" s="349">
        <f t="shared" si="87"/>
        <v>1.0105263157894737</v>
      </c>
      <c r="H428" s="349">
        <f t="shared" si="88"/>
        <v>3.75</v>
      </c>
      <c r="I428" s="350">
        <f t="shared" si="89"/>
        <v>3.7894736842105265</v>
      </c>
      <c r="J428" s="351">
        <f t="shared" si="90"/>
        <v>101.78571428571426</v>
      </c>
      <c r="K428" s="347" t="str">
        <f t="shared" si="82"/>
        <v/>
      </c>
      <c r="L428" s="350" t="str">
        <f t="shared" si="83"/>
        <v/>
      </c>
    </row>
    <row r="429" spans="1:12" s="332" customFormat="1" x14ac:dyDescent="0.2">
      <c r="A429" s="413"/>
      <c r="B429" s="347">
        <v>35</v>
      </c>
      <c r="C429" s="348">
        <f t="shared" si="93"/>
        <v>305</v>
      </c>
      <c r="D429" s="348">
        <f t="shared" si="84"/>
        <v>10</v>
      </c>
      <c r="E429" s="349">
        <f t="shared" si="94"/>
        <v>0.94941634241245132</v>
      </c>
      <c r="F429" s="350">
        <f t="shared" si="95"/>
        <v>2.1428571428571428</v>
      </c>
      <c r="G429" s="349">
        <f t="shared" si="87"/>
        <v>1.0105263157894737</v>
      </c>
      <c r="H429" s="349">
        <f t="shared" si="88"/>
        <v>3.75</v>
      </c>
      <c r="I429" s="350">
        <f t="shared" si="89"/>
        <v>3.7894736842105265</v>
      </c>
      <c r="J429" s="351">
        <f t="shared" si="90"/>
        <v>105.53571428571426</v>
      </c>
      <c r="K429" s="347" t="str">
        <f t="shared" si="82"/>
        <v/>
      </c>
      <c r="L429" s="350" t="str">
        <f t="shared" si="83"/>
        <v/>
      </c>
    </row>
    <row r="430" spans="1:12" s="332" customFormat="1" x14ac:dyDescent="0.2">
      <c r="A430" s="413"/>
      <c r="B430" s="347">
        <v>36</v>
      </c>
      <c r="C430" s="348">
        <f t="shared" si="93"/>
        <v>275</v>
      </c>
      <c r="D430" s="348">
        <f t="shared" si="84"/>
        <v>1</v>
      </c>
      <c r="E430" s="349">
        <f t="shared" si="94"/>
        <v>0.85603112840466922</v>
      </c>
      <c r="F430" s="350">
        <f t="shared" si="95"/>
        <v>2.1428571428571428</v>
      </c>
      <c r="G430" s="349">
        <f t="shared" si="87"/>
        <v>1.0105263157894737</v>
      </c>
      <c r="H430" s="349">
        <f t="shared" si="88"/>
        <v>3.75</v>
      </c>
      <c r="I430" s="350">
        <f t="shared" si="89"/>
        <v>3.7894736842105265</v>
      </c>
      <c r="J430" s="351">
        <f t="shared" si="90"/>
        <v>109.28571428571426</v>
      </c>
      <c r="K430" s="347" t="str">
        <f t="shared" si="82"/>
        <v/>
      </c>
      <c r="L430" s="350" t="str">
        <f t="shared" si="83"/>
        <v/>
      </c>
    </row>
    <row r="431" spans="1:12" s="332" customFormat="1" x14ac:dyDescent="0.2">
      <c r="A431" s="413"/>
      <c r="B431" s="347">
        <v>37</v>
      </c>
      <c r="C431" s="348">
        <f t="shared" si="93"/>
        <v>355</v>
      </c>
      <c r="D431" s="348">
        <f t="shared" si="84"/>
        <v>59</v>
      </c>
      <c r="E431" s="349">
        <f t="shared" si="94"/>
        <v>1.1050583657587549</v>
      </c>
      <c r="F431" s="350">
        <f t="shared" si="95"/>
        <v>2.1428571428571428</v>
      </c>
      <c r="G431" s="349">
        <f t="shared" si="87"/>
        <v>1.0105263157894737</v>
      </c>
      <c r="H431" s="349">
        <f t="shared" si="88"/>
        <v>3.75</v>
      </c>
      <c r="I431" s="350">
        <f t="shared" si="89"/>
        <v>3.7894736842105265</v>
      </c>
      <c r="J431" s="351">
        <f t="shared" si="90"/>
        <v>113.03571428571426</v>
      </c>
      <c r="K431" s="347" t="str">
        <f t="shared" si="82"/>
        <v/>
      </c>
      <c r="L431" s="350" t="str">
        <f t="shared" si="83"/>
        <v/>
      </c>
    </row>
    <row r="432" spans="1:12" s="332" customFormat="1" x14ac:dyDescent="0.2">
      <c r="A432" s="413"/>
      <c r="B432" s="347">
        <v>38</v>
      </c>
      <c r="C432" s="348">
        <f t="shared" si="93"/>
        <v>315</v>
      </c>
      <c r="D432" s="348">
        <f t="shared" si="84"/>
        <v>21</v>
      </c>
      <c r="E432" s="349">
        <f t="shared" si="94"/>
        <v>0.98054474708171202</v>
      </c>
      <c r="F432" s="350">
        <f t="shared" si="95"/>
        <v>2.1428571428571428</v>
      </c>
      <c r="G432" s="349">
        <f t="shared" si="87"/>
        <v>1.0105263157894737</v>
      </c>
      <c r="H432" s="349">
        <f t="shared" si="88"/>
        <v>3.75</v>
      </c>
      <c r="I432" s="350">
        <f t="shared" si="89"/>
        <v>3.7894736842105265</v>
      </c>
      <c r="J432" s="351">
        <f t="shared" si="90"/>
        <v>116.78571428571426</v>
      </c>
      <c r="K432" s="347" t="str">
        <f t="shared" si="82"/>
        <v/>
      </c>
      <c r="L432" s="350" t="str">
        <f t="shared" si="83"/>
        <v/>
      </c>
    </row>
    <row r="433" spans="1:12" s="332" customFormat="1" x14ac:dyDescent="0.2">
      <c r="A433" s="413"/>
      <c r="B433" s="347">
        <v>39</v>
      </c>
      <c r="C433" s="348">
        <f t="shared" si="93"/>
        <v>325</v>
      </c>
      <c r="D433" s="348">
        <f t="shared" si="84"/>
        <v>40</v>
      </c>
      <c r="E433" s="349">
        <f t="shared" si="94"/>
        <v>1.0116731517509727</v>
      </c>
      <c r="F433" s="350">
        <f t="shared" si="95"/>
        <v>2.1428571428571428</v>
      </c>
      <c r="G433" s="349">
        <f t="shared" si="87"/>
        <v>1.0105263157894737</v>
      </c>
      <c r="H433" s="349">
        <f t="shared" si="88"/>
        <v>3.75</v>
      </c>
      <c r="I433" s="350">
        <f t="shared" si="89"/>
        <v>3.7894736842105265</v>
      </c>
      <c r="J433" s="351">
        <f t="shared" si="90"/>
        <v>120.53571428571426</v>
      </c>
      <c r="K433" s="347" t="str">
        <f t="shared" si="82"/>
        <v/>
      </c>
      <c r="L433" s="350" t="str">
        <f t="shared" si="83"/>
        <v/>
      </c>
    </row>
    <row r="434" spans="1:12" s="332" customFormat="1" x14ac:dyDescent="0.2">
      <c r="A434" s="413"/>
      <c r="B434" s="347">
        <v>40</v>
      </c>
      <c r="C434" s="348">
        <f t="shared" si="93"/>
        <v>320</v>
      </c>
      <c r="D434" s="348">
        <f t="shared" si="84"/>
        <v>26</v>
      </c>
      <c r="E434" s="349">
        <f t="shared" si="94"/>
        <v>0.99610894941634243</v>
      </c>
      <c r="F434" s="350">
        <f t="shared" si="95"/>
        <v>2.1428571428571428</v>
      </c>
      <c r="G434" s="349">
        <f t="shared" si="87"/>
        <v>1.0116731517509727</v>
      </c>
      <c r="H434" s="349">
        <f t="shared" si="88"/>
        <v>2.1428571428571428</v>
      </c>
      <c r="I434" s="350">
        <f t="shared" si="89"/>
        <v>2.1678710394663701</v>
      </c>
      <c r="J434" s="351">
        <f t="shared" si="90"/>
        <v>122.6785714285714</v>
      </c>
      <c r="K434" s="347" t="str">
        <f t="shared" si="82"/>
        <v/>
      </c>
      <c r="L434" s="350" t="str">
        <f t="shared" si="83"/>
        <v/>
      </c>
    </row>
    <row r="435" spans="1:12" s="332" customFormat="1" x14ac:dyDescent="0.2">
      <c r="A435" s="413"/>
      <c r="B435" s="347">
        <v>41</v>
      </c>
      <c r="C435" s="348">
        <f t="shared" si="93"/>
        <v>315</v>
      </c>
      <c r="D435" s="348">
        <f t="shared" si="84"/>
        <v>21</v>
      </c>
      <c r="E435" s="349">
        <f t="shared" si="94"/>
        <v>0.98054474708171202</v>
      </c>
      <c r="F435" s="350">
        <f t="shared" si="95"/>
        <v>2.1428571428571428</v>
      </c>
      <c r="G435" s="349">
        <f t="shared" si="87"/>
        <v>1.0116731517509727</v>
      </c>
      <c r="H435" s="349">
        <f t="shared" si="88"/>
        <v>2.1428571428571428</v>
      </c>
      <c r="I435" s="350">
        <f t="shared" si="89"/>
        <v>2.1678710394663701</v>
      </c>
      <c r="J435" s="351">
        <f t="shared" si="90"/>
        <v>124.82142857142854</v>
      </c>
      <c r="K435" s="347" t="str">
        <f t="shared" si="82"/>
        <v/>
      </c>
      <c r="L435" s="350" t="str">
        <f t="shared" si="83"/>
        <v/>
      </c>
    </row>
    <row r="436" spans="1:12" s="332" customFormat="1" x14ac:dyDescent="0.2">
      <c r="A436" s="413"/>
      <c r="B436" s="347">
        <v>42</v>
      </c>
      <c r="C436" s="348">
        <f t="shared" si="93"/>
        <v>315</v>
      </c>
      <c r="D436" s="348">
        <f t="shared" si="84"/>
        <v>21</v>
      </c>
      <c r="E436" s="349">
        <f t="shared" si="94"/>
        <v>0.98054474708171202</v>
      </c>
      <c r="F436" s="350">
        <f t="shared" si="95"/>
        <v>2.1428571428571428</v>
      </c>
      <c r="G436" s="349">
        <f t="shared" si="87"/>
        <v>1.0222652468538238</v>
      </c>
      <c r="H436" s="349">
        <f t="shared" si="88"/>
        <v>3.75</v>
      </c>
      <c r="I436" s="350">
        <f t="shared" si="89"/>
        <v>3.8334946757018393</v>
      </c>
      <c r="J436" s="351">
        <f t="shared" si="90"/>
        <v>128.57142857142856</v>
      </c>
      <c r="K436" s="347" t="str">
        <f t="shared" si="82"/>
        <v/>
      </c>
      <c r="L436" s="350" t="str">
        <f t="shared" si="83"/>
        <v/>
      </c>
    </row>
    <row r="437" spans="1:12" s="332" customFormat="1" x14ac:dyDescent="0.2">
      <c r="A437" s="413"/>
      <c r="B437" s="347">
        <v>43</v>
      </c>
      <c r="C437" s="348">
        <f t="shared" si="93"/>
        <v>310</v>
      </c>
      <c r="D437" s="348">
        <f t="shared" si="84"/>
        <v>16</v>
      </c>
      <c r="E437" s="349">
        <f t="shared" si="94"/>
        <v>0.96498054474708173</v>
      </c>
      <c r="F437" s="350">
        <f t="shared" si="95"/>
        <v>2.1428571428571428</v>
      </c>
      <c r="G437" s="349">
        <f t="shared" si="87"/>
        <v>1.027237354085603</v>
      </c>
      <c r="H437" s="349">
        <f t="shared" si="88"/>
        <v>2.1428571428571428</v>
      </c>
      <c r="I437" s="350">
        <f t="shared" si="89"/>
        <v>2.2012229016120064</v>
      </c>
      <c r="J437" s="351">
        <f t="shared" si="90"/>
        <v>130.71428571428569</v>
      </c>
      <c r="K437" s="347" t="str">
        <f t="shared" si="82"/>
        <v/>
      </c>
      <c r="L437" s="350" t="str">
        <f t="shared" si="83"/>
        <v/>
      </c>
    </row>
    <row r="438" spans="1:12" x14ac:dyDescent="0.2">
      <c r="A438" s="413"/>
      <c r="B438" s="347">
        <v>44</v>
      </c>
      <c r="C438" s="348">
        <f t="shared" si="93"/>
        <v>305</v>
      </c>
      <c r="D438" s="348">
        <f t="shared" si="84"/>
        <v>10</v>
      </c>
      <c r="E438" s="349">
        <f t="shared" si="94"/>
        <v>0.94941634241245132</v>
      </c>
      <c r="F438" s="350">
        <f t="shared" si="95"/>
        <v>2.1428571428571428</v>
      </c>
      <c r="G438" s="349">
        <f t="shared" si="87"/>
        <v>1.027237354085603</v>
      </c>
      <c r="H438" s="349">
        <f t="shared" si="88"/>
        <v>2.1428571428571428</v>
      </c>
      <c r="I438" s="350">
        <f t="shared" si="89"/>
        <v>2.2012229016120064</v>
      </c>
      <c r="J438" s="351">
        <f t="shared" si="90"/>
        <v>132.85714285714283</v>
      </c>
      <c r="K438" s="347" t="str">
        <f t="shared" si="82"/>
        <v/>
      </c>
      <c r="L438" s="350" t="str">
        <f t="shared" si="83"/>
        <v/>
      </c>
    </row>
    <row r="439" spans="1:12" s="332" customFormat="1" x14ac:dyDescent="0.2">
      <c r="A439" s="413"/>
      <c r="B439" s="347">
        <v>45</v>
      </c>
      <c r="C439" s="348">
        <f t="shared" si="93"/>
        <v>330</v>
      </c>
      <c r="D439" s="348">
        <f t="shared" si="84"/>
        <v>43</v>
      </c>
      <c r="E439" s="349">
        <f t="shared" si="94"/>
        <v>1.027237354085603</v>
      </c>
      <c r="F439" s="350">
        <f t="shared" si="95"/>
        <v>2.1428571428571428</v>
      </c>
      <c r="G439" s="349">
        <f t="shared" si="87"/>
        <v>1.027237354085603</v>
      </c>
      <c r="H439" s="349">
        <f t="shared" si="88"/>
        <v>2.1428571428571428</v>
      </c>
      <c r="I439" s="350">
        <f t="shared" si="89"/>
        <v>2.2012229016120064</v>
      </c>
      <c r="J439" s="351">
        <f t="shared" si="90"/>
        <v>134.99999999999997</v>
      </c>
      <c r="K439" s="347" t="str">
        <f t="shared" si="82"/>
        <v/>
      </c>
      <c r="L439" s="350" t="str">
        <f t="shared" si="83"/>
        <v/>
      </c>
    </row>
    <row r="440" spans="1:12" s="332" customFormat="1" x14ac:dyDescent="0.2">
      <c r="A440" s="413"/>
      <c r="B440" s="347">
        <v>46</v>
      </c>
      <c r="C440" s="348">
        <f t="shared" si="93"/>
        <v>305</v>
      </c>
      <c r="D440" s="348">
        <f t="shared" si="84"/>
        <v>10</v>
      </c>
      <c r="E440" s="349">
        <f t="shared" si="94"/>
        <v>0.94941634241245132</v>
      </c>
      <c r="F440" s="350">
        <f t="shared" si="95"/>
        <v>2.1428571428571428</v>
      </c>
      <c r="G440" s="349">
        <f t="shared" si="87"/>
        <v>1.027237354085603</v>
      </c>
      <c r="H440" s="349">
        <f t="shared" si="88"/>
        <v>2.1428571428571428</v>
      </c>
      <c r="I440" s="350">
        <f t="shared" si="89"/>
        <v>2.2012229016120064</v>
      </c>
      <c r="J440" s="351">
        <f t="shared" si="90"/>
        <v>137.14285714285711</v>
      </c>
      <c r="K440" s="347" t="str">
        <f t="shared" si="82"/>
        <v/>
      </c>
      <c r="L440" s="350" t="str">
        <f t="shared" si="83"/>
        <v/>
      </c>
    </row>
    <row r="441" spans="1:12" s="332" customFormat="1" x14ac:dyDescent="0.2">
      <c r="A441" s="413"/>
      <c r="B441" s="347">
        <v>47</v>
      </c>
      <c r="C441" s="348">
        <f t="shared" si="93"/>
        <v>330</v>
      </c>
      <c r="D441" s="348">
        <f t="shared" si="84"/>
        <v>43</v>
      </c>
      <c r="E441" s="349">
        <f t="shared" si="94"/>
        <v>1.027237354085603</v>
      </c>
      <c r="F441" s="350">
        <f t="shared" si="95"/>
        <v>2.1428571428571428</v>
      </c>
      <c r="G441" s="349">
        <f t="shared" si="87"/>
        <v>1.0315789473684212</v>
      </c>
      <c r="H441" s="349">
        <f t="shared" si="88"/>
        <v>3.75</v>
      </c>
      <c r="I441" s="350">
        <f t="shared" si="89"/>
        <v>3.8684210526315792</v>
      </c>
      <c r="J441" s="351">
        <f t="shared" si="90"/>
        <v>140.89285714285711</v>
      </c>
      <c r="K441" s="347" t="str">
        <f t="shared" si="82"/>
        <v/>
      </c>
      <c r="L441" s="350" t="str">
        <f t="shared" si="83"/>
        <v/>
      </c>
    </row>
    <row r="442" spans="1:12" s="332" customFormat="1" x14ac:dyDescent="0.2">
      <c r="A442" s="413"/>
      <c r="B442" s="347">
        <v>48</v>
      </c>
      <c r="C442" s="348">
        <f t="shared" si="93"/>
        <v>330</v>
      </c>
      <c r="D442" s="348">
        <f t="shared" si="84"/>
        <v>43</v>
      </c>
      <c r="E442" s="349">
        <f t="shared" si="94"/>
        <v>1.027237354085603</v>
      </c>
      <c r="F442" s="350">
        <f t="shared" si="95"/>
        <v>2.1428571428571428</v>
      </c>
      <c r="G442" s="349">
        <f t="shared" si="87"/>
        <v>1.037754114230397</v>
      </c>
      <c r="H442" s="349">
        <f t="shared" si="88"/>
        <v>3.75</v>
      </c>
      <c r="I442" s="350">
        <f t="shared" si="89"/>
        <v>3.8915779283639886</v>
      </c>
      <c r="J442" s="351">
        <f t="shared" si="90"/>
        <v>144.64285714285711</v>
      </c>
      <c r="K442" s="347" t="str">
        <f t="shared" si="82"/>
        <v/>
      </c>
      <c r="L442" s="350" t="str">
        <f t="shared" si="83"/>
        <v/>
      </c>
    </row>
    <row r="443" spans="1:12" s="332" customFormat="1" x14ac:dyDescent="0.2">
      <c r="A443" s="413"/>
      <c r="B443" s="347">
        <v>49</v>
      </c>
      <c r="C443" s="348">
        <f t="shared" si="93"/>
        <v>305</v>
      </c>
      <c r="D443" s="348">
        <f t="shared" si="84"/>
        <v>10</v>
      </c>
      <c r="E443" s="349">
        <f t="shared" si="94"/>
        <v>0.94941634241245132</v>
      </c>
      <c r="F443" s="350">
        <f t="shared" si="95"/>
        <v>2.1428571428571428</v>
      </c>
      <c r="G443" s="349">
        <f t="shared" si="87"/>
        <v>1.037754114230397</v>
      </c>
      <c r="H443" s="349">
        <f t="shared" si="88"/>
        <v>3.75</v>
      </c>
      <c r="I443" s="350">
        <f t="shared" si="89"/>
        <v>3.8915779283639886</v>
      </c>
      <c r="J443" s="351">
        <f t="shared" si="90"/>
        <v>148.39285714285711</v>
      </c>
      <c r="K443" s="347" t="str">
        <f t="shared" si="82"/>
        <v/>
      </c>
      <c r="L443" s="350" t="str">
        <f t="shared" si="83"/>
        <v/>
      </c>
    </row>
    <row r="444" spans="1:12" s="332" customFormat="1" x14ac:dyDescent="0.2">
      <c r="A444" s="413"/>
      <c r="B444" s="347">
        <v>50</v>
      </c>
      <c r="C444" s="348">
        <f t="shared" si="93"/>
        <v>315</v>
      </c>
      <c r="D444" s="348">
        <f t="shared" si="84"/>
        <v>21</v>
      </c>
      <c r="E444" s="349">
        <f t="shared" si="94"/>
        <v>0.98054474708171202</v>
      </c>
      <c r="F444" s="350">
        <f t="shared" si="95"/>
        <v>2.1428571428571428</v>
      </c>
      <c r="G444" s="349">
        <f t="shared" si="87"/>
        <v>1.0428015564202335</v>
      </c>
      <c r="H444" s="349">
        <f t="shared" si="88"/>
        <v>2.1428571428571428</v>
      </c>
      <c r="I444" s="350">
        <f t="shared" si="89"/>
        <v>2.2345747637576432</v>
      </c>
      <c r="J444" s="351">
        <f t="shared" si="90"/>
        <v>150.53571428571425</v>
      </c>
      <c r="K444" s="347" t="str">
        <f t="shared" si="82"/>
        <v/>
      </c>
      <c r="L444" s="350" t="str">
        <f t="shared" si="83"/>
        <v/>
      </c>
    </row>
    <row r="445" spans="1:12" s="332" customFormat="1" x14ac:dyDescent="0.2">
      <c r="A445" s="413"/>
      <c r="B445" s="347">
        <v>51</v>
      </c>
      <c r="C445" s="348">
        <f t="shared" si="93"/>
        <v>335</v>
      </c>
      <c r="D445" s="348">
        <f t="shared" si="84"/>
        <v>50</v>
      </c>
      <c r="E445" s="349">
        <f t="shared" si="94"/>
        <v>1.0428015564202335</v>
      </c>
      <c r="F445" s="350">
        <f t="shared" si="95"/>
        <v>2.1428571428571428</v>
      </c>
      <c r="G445" s="349">
        <f t="shared" si="87"/>
        <v>1.0428015564202335</v>
      </c>
      <c r="H445" s="349">
        <f t="shared" si="88"/>
        <v>2.1428571428571428</v>
      </c>
      <c r="I445" s="350">
        <f t="shared" si="89"/>
        <v>2.2345747637576432</v>
      </c>
      <c r="J445" s="351">
        <f t="shared" si="90"/>
        <v>152.67857142857139</v>
      </c>
      <c r="K445" s="347" t="str">
        <f t="shared" si="82"/>
        <v/>
      </c>
      <c r="L445" s="350" t="str">
        <f t="shared" si="83"/>
        <v/>
      </c>
    </row>
    <row r="446" spans="1:12" s="332" customFormat="1" x14ac:dyDescent="0.2">
      <c r="A446" s="413"/>
      <c r="B446" s="347">
        <v>52</v>
      </c>
      <c r="C446" s="348">
        <f t="shared" si="93"/>
        <v>320</v>
      </c>
      <c r="D446" s="348">
        <f t="shared" si="84"/>
        <v>26</v>
      </c>
      <c r="E446" s="349">
        <f t="shared" si="94"/>
        <v>0.99610894941634243</v>
      </c>
      <c r="F446" s="350">
        <f t="shared" si="95"/>
        <v>2.1428571428571428</v>
      </c>
      <c r="G446" s="349">
        <f t="shared" si="87"/>
        <v>1.0526315789473684</v>
      </c>
      <c r="H446" s="349">
        <f t="shared" si="88"/>
        <v>3.75</v>
      </c>
      <c r="I446" s="350">
        <f t="shared" si="89"/>
        <v>3.9473684210526314</v>
      </c>
      <c r="J446" s="351">
        <f t="shared" si="90"/>
        <v>156.42857142857139</v>
      </c>
      <c r="K446" s="347" t="str">
        <f t="shared" si="82"/>
        <v/>
      </c>
      <c r="L446" s="350" t="str">
        <f t="shared" si="83"/>
        <v/>
      </c>
    </row>
    <row r="447" spans="1:12" s="332" customFormat="1" x14ac:dyDescent="0.2">
      <c r="A447" s="413"/>
      <c r="B447" s="347">
        <v>53</v>
      </c>
      <c r="C447" s="348">
        <f t="shared" si="93"/>
        <v>340</v>
      </c>
      <c r="D447" s="348">
        <f t="shared" si="84"/>
        <v>54</v>
      </c>
      <c r="E447" s="349">
        <f t="shared" si="94"/>
        <v>1.0583657587548638</v>
      </c>
      <c r="F447" s="350">
        <f t="shared" si="95"/>
        <v>2.1428571428571428</v>
      </c>
      <c r="G447" s="349">
        <f t="shared" si="87"/>
        <v>1.0526315789473684</v>
      </c>
      <c r="H447" s="349">
        <f t="shared" si="88"/>
        <v>3.75</v>
      </c>
      <c r="I447" s="350">
        <f t="shared" si="89"/>
        <v>3.9473684210526314</v>
      </c>
      <c r="J447" s="351">
        <f t="shared" si="90"/>
        <v>160.17857142857139</v>
      </c>
      <c r="K447" s="347" t="str">
        <f t="shared" si="82"/>
        <v/>
      </c>
      <c r="L447" s="350" t="str">
        <f t="shared" si="83"/>
        <v/>
      </c>
    </row>
    <row r="448" spans="1:12" s="332" customFormat="1" x14ac:dyDescent="0.2">
      <c r="A448" s="413"/>
      <c r="B448" s="347">
        <v>54</v>
      </c>
      <c r="C448" s="348">
        <f t="shared" si="93"/>
        <v>335</v>
      </c>
      <c r="D448" s="348">
        <f t="shared" si="84"/>
        <v>50</v>
      </c>
      <c r="E448" s="349">
        <f t="shared" si="94"/>
        <v>1.0428015564202335</v>
      </c>
      <c r="F448" s="350">
        <f t="shared" si="95"/>
        <v>2.1428571428571428</v>
      </c>
      <c r="G448" s="349">
        <f t="shared" si="87"/>
        <v>1.0583657587548638</v>
      </c>
      <c r="H448" s="349">
        <f t="shared" si="88"/>
        <v>2.1428571428571428</v>
      </c>
      <c r="I448" s="350">
        <f t="shared" si="89"/>
        <v>2.2679266259032795</v>
      </c>
      <c r="J448" s="351">
        <f t="shared" si="90"/>
        <v>162.32142857142853</v>
      </c>
      <c r="K448" s="347" t="str">
        <f t="shared" si="82"/>
        <v/>
      </c>
      <c r="L448" s="350" t="str">
        <f t="shared" si="83"/>
        <v/>
      </c>
    </row>
    <row r="449" spans="1:12" s="332" customFormat="1" x14ac:dyDescent="0.2">
      <c r="A449" s="413"/>
      <c r="B449" s="347">
        <v>55</v>
      </c>
      <c r="C449" s="348">
        <f t="shared" si="93"/>
        <v>345</v>
      </c>
      <c r="D449" s="348">
        <f t="shared" si="84"/>
        <v>55</v>
      </c>
      <c r="E449" s="349">
        <f t="shared" si="94"/>
        <v>1.0739299610894941</v>
      </c>
      <c r="F449" s="350">
        <f t="shared" si="95"/>
        <v>2.1428571428571428</v>
      </c>
      <c r="G449" s="349">
        <f t="shared" si="87"/>
        <v>1.0739299610894941</v>
      </c>
      <c r="H449" s="349">
        <f t="shared" si="88"/>
        <v>2.1428571428571428</v>
      </c>
      <c r="I449" s="350">
        <f t="shared" si="89"/>
        <v>2.3012784880489159</v>
      </c>
      <c r="J449" s="351">
        <f t="shared" si="90"/>
        <v>164.46428571428567</v>
      </c>
      <c r="K449" s="347" t="str">
        <f t="shared" si="82"/>
        <v/>
      </c>
      <c r="L449" s="350" t="str">
        <f t="shared" si="83"/>
        <v/>
      </c>
    </row>
    <row r="450" spans="1:12" s="332" customFormat="1" x14ac:dyDescent="0.2">
      <c r="A450" s="413"/>
      <c r="B450" s="347">
        <v>56</v>
      </c>
      <c r="C450" s="348">
        <f t="shared" si="93"/>
        <v>325</v>
      </c>
      <c r="D450" s="348">
        <f t="shared" si="84"/>
        <v>40</v>
      </c>
      <c r="E450" s="349">
        <f t="shared" si="94"/>
        <v>1.0116731517509727</v>
      </c>
      <c r="F450" s="350">
        <f t="shared" si="95"/>
        <v>2.1428571428571428</v>
      </c>
      <c r="G450" s="349">
        <f t="shared" si="87"/>
        <v>1.0739299610894941</v>
      </c>
      <c r="H450" s="349">
        <f t="shared" si="88"/>
        <v>2.1428571428571428</v>
      </c>
      <c r="I450" s="350">
        <f t="shared" si="89"/>
        <v>2.3012784880489159</v>
      </c>
      <c r="J450" s="351">
        <f t="shared" si="90"/>
        <v>166.6071428571428</v>
      </c>
      <c r="K450" s="347" t="str">
        <f t="shared" si="82"/>
        <v/>
      </c>
      <c r="L450" s="350" t="str">
        <f t="shared" si="83"/>
        <v/>
      </c>
    </row>
    <row r="451" spans="1:12" s="332" customFormat="1" x14ac:dyDescent="0.2">
      <c r="A451" s="413"/>
      <c r="B451" s="347">
        <v>57</v>
      </c>
      <c r="C451" s="348">
        <f t="shared" si="93"/>
        <v>330</v>
      </c>
      <c r="D451" s="348">
        <f t="shared" si="84"/>
        <v>43</v>
      </c>
      <c r="E451" s="349">
        <f t="shared" si="94"/>
        <v>1.027237354085603</v>
      </c>
      <c r="F451" s="350">
        <f t="shared" si="95"/>
        <v>2.1428571428571428</v>
      </c>
      <c r="G451" s="349">
        <f t="shared" si="87"/>
        <v>1.0842207163601161</v>
      </c>
      <c r="H451" s="349">
        <f t="shared" si="88"/>
        <v>3.75</v>
      </c>
      <c r="I451" s="350">
        <f t="shared" si="89"/>
        <v>4.0658276863504357</v>
      </c>
      <c r="J451" s="351">
        <f t="shared" si="90"/>
        <v>170.3571428571428</v>
      </c>
      <c r="K451" s="347" t="str">
        <f t="shared" si="82"/>
        <v/>
      </c>
      <c r="L451" s="350" t="str">
        <f t="shared" si="83"/>
        <v/>
      </c>
    </row>
    <row r="452" spans="1:12" s="332" customFormat="1" x14ac:dyDescent="0.2">
      <c r="A452" s="413"/>
      <c r="B452" s="347">
        <v>58</v>
      </c>
      <c r="C452" s="348">
        <f t="shared" si="93"/>
        <v>320</v>
      </c>
      <c r="D452" s="348">
        <f t="shared" si="84"/>
        <v>26</v>
      </c>
      <c r="E452" s="349">
        <f t="shared" si="94"/>
        <v>0.99610894941634243</v>
      </c>
      <c r="F452" s="350">
        <f t="shared" si="95"/>
        <v>2.1428571428571428</v>
      </c>
      <c r="G452" s="349">
        <f t="shared" si="87"/>
        <v>1.0947368421052632</v>
      </c>
      <c r="H452" s="349">
        <f t="shared" si="88"/>
        <v>3.75</v>
      </c>
      <c r="I452" s="350">
        <f t="shared" si="89"/>
        <v>4.1052631578947372</v>
      </c>
      <c r="J452" s="351">
        <f t="shared" si="90"/>
        <v>174.1071428571428</v>
      </c>
      <c r="K452" s="347" t="str">
        <f t="shared" si="82"/>
        <v/>
      </c>
      <c r="L452" s="350" t="str">
        <f t="shared" si="83"/>
        <v/>
      </c>
    </row>
    <row r="453" spans="1:12" s="332" customFormat="1" x14ac:dyDescent="0.2">
      <c r="A453" s="413"/>
      <c r="B453" s="347">
        <v>59</v>
      </c>
      <c r="C453" s="348">
        <f t="shared" si="93"/>
        <v>345</v>
      </c>
      <c r="D453" s="348">
        <f t="shared" si="84"/>
        <v>55</v>
      </c>
      <c r="E453" s="349">
        <f t="shared" si="94"/>
        <v>1.0739299610894941</v>
      </c>
      <c r="F453" s="350">
        <f t="shared" si="95"/>
        <v>2.1428571428571428</v>
      </c>
      <c r="G453" s="349">
        <f t="shared" si="87"/>
        <v>1.1050583657587549</v>
      </c>
      <c r="H453" s="349">
        <f t="shared" si="88"/>
        <v>2.1428571428571428</v>
      </c>
      <c r="I453" s="350">
        <f t="shared" si="89"/>
        <v>2.367982212340189</v>
      </c>
      <c r="J453" s="351">
        <f t="shared" si="90"/>
        <v>176.24999999999994</v>
      </c>
      <c r="K453" s="347" t="str">
        <f t="shared" si="82"/>
        <v/>
      </c>
      <c r="L453" s="350" t="str">
        <f t="shared" si="83"/>
        <v/>
      </c>
    </row>
    <row r="454" spans="1:12" s="332" customFormat="1" x14ac:dyDescent="0.2">
      <c r="A454" s="414"/>
      <c r="B454" s="352">
        <v>60</v>
      </c>
      <c r="C454" s="353">
        <f t="shared" si="93"/>
        <v>320</v>
      </c>
      <c r="D454" s="353">
        <f t="shared" si="84"/>
        <v>26</v>
      </c>
      <c r="E454" s="354">
        <f t="shared" si="94"/>
        <v>0.99610894941634243</v>
      </c>
      <c r="F454" s="355">
        <f t="shared" si="95"/>
        <v>2.1428571428571428</v>
      </c>
      <c r="G454" s="354">
        <f t="shared" si="87"/>
        <v>1.239109390125847</v>
      </c>
      <c r="H454" s="354">
        <f t="shared" si="88"/>
        <v>3.75</v>
      </c>
      <c r="I454" s="355">
        <f t="shared" si="89"/>
        <v>4.6466602129719261</v>
      </c>
      <c r="J454" s="356">
        <f t="shared" si="90"/>
        <v>179.99999999999994</v>
      </c>
      <c r="K454" s="352" t="str">
        <f t="shared" si="82"/>
        <v/>
      </c>
      <c r="L454" s="355" t="str">
        <f t="shared" si="83"/>
        <v/>
      </c>
    </row>
    <row r="455" spans="1:12" s="332" customFormat="1" ht="15" thickBot="1" x14ac:dyDescent="0.25">
      <c r="A455" s="333"/>
      <c r="B455" s="333"/>
      <c r="C455" s="333"/>
      <c r="D455" s="333"/>
      <c r="E455" s="333"/>
      <c r="F455" s="333"/>
      <c r="G455" s="333"/>
      <c r="H455" s="333"/>
      <c r="I455" s="333"/>
      <c r="J455" s="333"/>
      <c r="K455" s="333"/>
      <c r="L455" s="333"/>
    </row>
    <row r="456" spans="1:12" s="332" customFormat="1" ht="15" x14ac:dyDescent="0.25">
      <c r="A456" s="333"/>
      <c r="B456" s="333"/>
      <c r="C456" s="333"/>
      <c r="D456" s="333"/>
      <c r="E456" s="333"/>
      <c r="F456" s="333"/>
      <c r="G456" s="333"/>
      <c r="H456" s="333"/>
      <c r="I456" s="333"/>
      <c r="J456" s="357">
        <f>J454/4</f>
        <v>44.999999999999986</v>
      </c>
      <c r="K456" s="358"/>
      <c r="L456" s="333"/>
    </row>
    <row r="457" spans="1:12" s="332" customFormat="1" ht="15.75" thickBot="1" x14ac:dyDescent="0.3">
      <c r="A457" s="333"/>
      <c r="B457" s="333"/>
      <c r="C457" s="333"/>
      <c r="D457" s="333"/>
      <c r="E457" s="333"/>
      <c r="F457" s="333"/>
      <c r="G457" s="333"/>
      <c r="H457" s="333"/>
      <c r="I457" s="333"/>
      <c r="J457" s="359" t="s">
        <v>903</v>
      </c>
      <c r="K457" s="360"/>
      <c r="L457" s="333"/>
    </row>
    <row r="458" spans="1:12" s="332" customFormat="1" x14ac:dyDescent="0.2">
      <c r="A458" s="333"/>
      <c r="B458" s="333"/>
      <c r="C458" s="333"/>
      <c r="D458" s="333"/>
      <c r="E458" s="333"/>
      <c r="F458" s="333"/>
      <c r="G458" s="333"/>
      <c r="H458" s="333"/>
      <c r="I458" s="333"/>
      <c r="J458" s="333"/>
      <c r="K458" s="333"/>
      <c r="L458" s="333"/>
    </row>
    <row r="459" spans="1:12" s="332" customFormat="1" x14ac:dyDescent="0.2">
      <c r="A459" s="333"/>
      <c r="B459" s="333"/>
      <c r="C459" s="333"/>
      <c r="D459" s="333"/>
      <c r="E459" s="333"/>
      <c r="F459" s="333"/>
      <c r="G459" s="333"/>
      <c r="H459" s="333"/>
      <c r="I459" s="333"/>
      <c r="J459" s="333"/>
      <c r="K459" s="333"/>
      <c r="L459" s="333"/>
    </row>
    <row r="460" spans="1:12" s="332" customFormat="1" x14ac:dyDescent="0.2">
      <c r="A460" s="333"/>
      <c r="B460" s="333" t="s">
        <v>904</v>
      </c>
      <c r="C460" s="333" t="s">
        <v>905</v>
      </c>
      <c r="D460" s="333"/>
      <c r="E460" s="361">
        <f>SUM(I395:I454)</f>
        <v>180.00000000000006</v>
      </c>
      <c r="F460" s="333"/>
      <c r="G460" s="333"/>
      <c r="H460" s="333"/>
      <c r="I460" s="333"/>
      <c r="J460" s="333"/>
      <c r="K460" s="333"/>
      <c r="L460" s="333"/>
    </row>
    <row r="461" spans="1:12" s="332" customFormat="1" x14ac:dyDescent="0.2">
      <c r="A461" s="333"/>
      <c r="B461" s="333" t="s">
        <v>904</v>
      </c>
      <c r="C461" s="333" t="s">
        <v>906</v>
      </c>
      <c r="D461" s="333"/>
      <c r="E461" s="361">
        <f>SUM(H395:H454)</f>
        <v>179.99999999999994</v>
      </c>
      <c r="F461" s="333"/>
      <c r="G461" s="333"/>
      <c r="H461" s="333"/>
      <c r="I461" s="362"/>
      <c r="J461" s="333"/>
      <c r="K461" s="333"/>
      <c r="L461" s="333"/>
    </row>
    <row r="462" spans="1:12" s="332" customFormat="1" x14ac:dyDescent="0.2">
      <c r="A462" s="333"/>
      <c r="B462" s="333" t="s">
        <v>904</v>
      </c>
      <c r="C462" s="333" t="s">
        <v>907</v>
      </c>
      <c r="D462" s="333"/>
      <c r="E462" s="362">
        <f>E460/E461</f>
        <v>1.0000000000000007</v>
      </c>
      <c r="F462" s="333"/>
      <c r="G462" s="333"/>
      <c r="H462" s="333"/>
      <c r="I462" s="362"/>
      <c r="J462" s="333"/>
      <c r="K462" s="333"/>
      <c r="L462" s="333"/>
    </row>
    <row r="463" spans="1:12" s="332" customFormat="1" x14ac:dyDescent="0.2">
      <c r="A463" s="333"/>
      <c r="B463" s="333"/>
      <c r="C463" s="333"/>
      <c r="D463" s="333"/>
      <c r="E463" s="361"/>
      <c r="F463" s="333"/>
      <c r="G463" s="333"/>
      <c r="H463" s="333"/>
      <c r="I463" s="333"/>
      <c r="J463" s="333"/>
      <c r="K463" s="333"/>
      <c r="L463" s="333"/>
    </row>
    <row r="464" spans="1:12" s="332" customFormat="1" x14ac:dyDescent="0.2">
      <c r="A464" s="333"/>
      <c r="B464" s="333" t="s">
        <v>908</v>
      </c>
      <c r="C464" s="333" t="s">
        <v>905</v>
      </c>
      <c r="D464" s="333"/>
      <c r="E464" s="361">
        <f>SUM(K395:K414)</f>
        <v>39.852698802652796</v>
      </c>
      <c r="F464" s="333"/>
      <c r="G464" s="333"/>
      <c r="H464" s="333"/>
      <c r="I464" s="333"/>
      <c r="J464" s="333"/>
      <c r="K464" s="333"/>
      <c r="L464" s="333"/>
    </row>
    <row r="465" spans="1:12" s="332" customFormat="1" x14ac:dyDescent="0.2">
      <c r="A465" s="333"/>
      <c r="B465" s="333" t="s">
        <v>908</v>
      </c>
      <c r="C465" s="333" t="s">
        <v>906</v>
      </c>
      <c r="D465" s="333"/>
      <c r="E465" s="361">
        <f>SUM(L395:L414)</f>
        <v>42.857142857142868</v>
      </c>
      <c r="F465" s="333"/>
      <c r="G465" s="333"/>
      <c r="H465" s="333"/>
      <c r="I465" s="333"/>
      <c r="J465" s="333"/>
      <c r="K465" s="333"/>
      <c r="L465" s="333"/>
    </row>
    <row r="466" spans="1:12" s="332" customFormat="1" x14ac:dyDescent="0.2">
      <c r="A466" s="333"/>
      <c r="B466" s="333" t="s">
        <v>908</v>
      </c>
      <c r="C466" s="333" t="s">
        <v>907</v>
      </c>
      <c r="D466" s="333"/>
      <c r="E466" s="362">
        <f>E464/E465</f>
        <v>0.92989630539523171</v>
      </c>
      <c r="F466" s="333"/>
      <c r="G466" s="333"/>
      <c r="H466" s="333"/>
      <c r="I466" s="333"/>
      <c r="J466" s="333"/>
      <c r="K466" s="333"/>
      <c r="L466" s="333"/>
    </row>
    <row r="467" spans="1:12" s="332" customFormat="1" x14ac:dyDescent="0.2">
      <c r="A467" s="333"/>
      <c r="B467" s="333"/>
      <c r="C467" s="333"/>
      <c r="D467" s="333"/>
      <c r="E467" s="333"/>
      <c r="F467" s="333"/>
      <c r="G467" s="333"/>
      <c r="H467" s="333"/>
      <c r="I467" s="333"/>
      <c r="J467" s="333"/>
      <c r="K467" s="333"/>
      <c r="L467" s="333"/>
    </row>
    <row r="468" spans="1:12" s="332" customFormat="1" ht="15" x14ac:dyDescent="0.25">
      <c r="A468" s="333"/>
      <c r="B468" s="333"/>
      <c r="C468" s="363" t="s">
        <v>909</v>
      </c>
      <c r="D468" s="364" t="s">
        <v>910</v>
      </c>
      <c r="E468" s="365">
        <f>E466/E462</f>
        <v>0.92989630539523105</v>
      </c>
      <c r="F468" s="333"/>
      <c r="G468" s="333"/>
      <c r="H468" s="333"/>
      <c r="I468" s="333"/>
      <c r="J468" s="333"/>
      <c r="K468" s="333"/>
      <c r="L468" s="333"/>
    </row>
    <row r="469" spans="1:12" s="332" customFormat="1" x14ac:dyDescent="0.2"/>
    <row r="470" spans="1:12" s="332" customFormat="1" x14ac:dyDescent="0.2"/>
    <row r="471" spans="1:12" ht="15.75" x14ac:dyDescent="0.25">
      <c r="A471" s="87">
        <v>4</v>
      </c>
      <c r="B471" s="88" t="s">
        <v>277</v>
      </c>
    </row>
    <row r="473" spans="1:12" s="84" customFormat="1" x14ac:dyDescent="0.2"/>
    <row r="474" spans="1:12" s="84" customFormat="1" x14ac:dyDescent="0.2"/>
    <row r="475" spans="1:12" s="84" customFormat="1" x14ac:dyDescent="0.2"/>
    <row r="476" spans="1:12" s="84" customFormat="1" x14ac:dyDescent="0.2"/>
    <row r="477" spans="1:12" x14ac:dyDescent="0.2">
      <c r="B477" s="84" t="s">
        <v>297</v>
      </c>
    </row>
    <row r="478" spans="1:12" x14ac:dyDescent="0.2">
      <c r="I478" s="85" t="s">
        <v>294</v>
      </c>
      <c r="J478" s="85" t="s">
        <v>295</v>
      </c>
      <c r="K478" s="85" t="s">
        <v>296</v>
      </c>
    </row>
    <row r="479" spans="1:12" x14ac:dyDescent="0.2">
      <c r="C479" s="419" t="str">
        <f>Data!D413</f>
        <v>Area with this combination:</v>
      </c>
      <c r="D479" s="420"/>
      <c r="E479" s="420"/>
      <c r="F479" s="420"/>
      <c r="G479" s="420"/>
      <c r="H479" s="421"/>
      <c r="I479" s="102">
        <f>Data!E413</f>
        <v>23.5</v>
      </c>
      <c r="J479" s="102">
        <f>Data!E440</f>
        <v>0</v>
      </c>
      <c r="K479" s="102">
        <f>Data!E467</f>
        <v>0</v>
      </c>
      <c r="L479" s="102" t="str">
        <f>Data!F413</f>
        <v>acres</v>
      </c>
    </row>
    <row r="480" spans="1:12" x14ac:dyDescent="0.2">
      <c r="C480" s="419" t="str">
        <f>Data!D414</f>
        <v>Area per plant  (row spacing x plant spacing):</v>
      </c>
      <c r="D480" s="420"/>
      <c r="E480" s="420"/>
      <c r="F480" s="420"/>
      <c r="G480" s="420"/>
      <c r="H480" s="421"/>
      <c r="I480" s="102">
        <f>Data!E414</f>
        <v>800</v>
      </c>
      <c r="J480" s="102">
        <f>Data!E441</f>
        <v>0</v>
      </c>
      <c r="K480" s="102">
        <f>Data!E468</f>
        <v>0</v>
      </c>
      <c r="L480" s="102" t="str">
        <f>Data!F414</f>
        <v>ft2</v>
      </c>
    </row>
    <row r="481" spans="3:17" x14ac:dyDescent="0.2">
      <c r="C481" s="419" t="str">
        <f>Data!D416</f>
        <v>Number of emitters per plant (emitter/plant ratio):</v>
      </c>
      <c r="D481" s="420"/>
      <c r="E481" s="420"/>
      <c r="F481" s="420"/>
      <c r="G481" s="420"/>
      <c r="H481" s="421"/>
      <c r="I481" s="102">
        <f>Data!E416</f>
        <v>8</v>
      </c>
      <c r="J481" s="102">
        <f>Data!E443</f>
        <v>0</v>
      </c>
      <c r="K481" s="102">
        <f>Data!E470</f>
        <v>0</v>
      </c>
      <c r="L481" s="102">
        <f>Data!F416</f>
        <v>0</v>
      </c>
    </row>
    <row r="482" spans="3:17" x14ac:dyDescent="0.2">
      <c r="C482" s="419" t="str">
        <f>Data!D418</f>
        <v>The computed flow rate per emitter was found to be:</v>
      </c>
      <c r="D482" s="420"/>
      <c r="E482" s="420"/>
      <c r="F482" s="420"/>
      <c r="G482" s="420"/>
      <c r="H482" s="421"/>
      <c r="I482" s="102">
        <f>Data!E371</f>
        <v>4.0714285714285712</v>
      </c>
      <c r="J482" s="102">
        <f>Data!E371</f>
        <v>4.0714285714285712</v>
      </c>
      <c r="K482" s="102">
        <f>Data!E371</f>
        <v>4.0714285714285712</v>
      </c>
      <c r="L482" s="102" t="str">
        <f>Data!F371</f>
        <v>lph</v>
      </c>
      <c r="M482" s="90"/>
      <c r="N482" s="90"/>
      <c r="O482" s="90"/>
      <c r="P482" s="90"/>
      <c r="Q482" s="90"/>
    </row>
    <row r="483" spans="3:17" x14ac:dyDescent="0.2">
      <c r="C483" s="419" t="str">
        <f>Data!D419</f>
        <v>Do you want to over-ride the computed flow per emitter?</v>
      </c>
      <c r="D483" s="420"/>
      <c r="E483" s="420"/>
      <c r="F483" s="420"/>
      <c r="G483" s="420"/>
      <c r="H483" s="421"/>
      <c r="I483" s="102">
        <f>Data!G419</f>
        <v>3</v>
      </c>
      <c r="J483" s="102">
        <f>Data!G446</f>
        <v>1</v>
      </c>
      <c r="K483" s="102">
        <f>Data!G473</f>
        <v>1</v>
      </c>
      <c r="L483" s="102"/>
      <c r="M483" s="84" t="s">
        <v>299</v>
      </c>
    </row>
    <row r="484" spans="3:17" x14ac:dyDescent="0.2">
      <c r="C484" s="443"/>
      <c r="D484" s="443"/>
      <c r="E484" s="443"/>
      <c r="F484" s="443"/>
      <c r="G484" s="443"/>
      <c r="H484" s="443"/>
      <c r="I484" s="101"/>
      <c r="J484" s="101"/>
      <c r="K484" s="101"/>
      <c r="L484" s="101"/>
    </row>
    <row r="485" spans="3:17" s="84" customFormat="1" x14ac:dyDescent="0.2">
      <c r="C485" s="464" t="s">
        <v>306</v>
      </c>
      <c r="D485" s="464"/>
      <c r="E485" s="464"/>
      <c r="F485" s="464"/>
      <c r="G485" s="464"/>
      <c r="H485" s="464"/>
      <c r="I485" s="101"/>
      <c r="J485" s="101"/>
      <c r="K485" s="101"/>
      <c r="L485" s="101"/>
    </row>
    <row r="486" spans="3:17" x14ac:dyDescent="0.2">
      <c r="C486" s="419" t="str">
        <f>Data!D424</f>
        <v>Over-ride flow rate (gph, lph, or mL/min):</v>
      </c>
      <c r="D486" s="420"/>
      <c r="E486" s="420"/>
      <c r="F486" s="420"/>
      <c r="G486" s="420"/>
      <c r="H486" s="421"/>
      <c r="I486" s="102">
        <f>Data!E424</f>
        <v>0</v>
      </c>
      <c r="J486" s="102">
        <f>Data!E451</f>
        <v>0</v>
      </c>
      <c r="K486" s="102">
        <f>Data!E478</f>
        <v>0</v>
      </c>
      <c r="L486" s="102"/>
    </row>
    <row r="487" spans="3:17" s="154" customFormat="1" x14ac:dyDescent="0.2">
      <c r="C487" s="419" t="str">
        <f>Data!D426</f>
        <v>Units of over-ride flow rate:</v>
      </c>
      <c r="D487" s="420"/>
      <c r="E487" s="420"/>
      <c r="F487" s="420"/>
      <c r="G487" s="420"/>
      <c r="H487" s="421"/>
      <c r="I487" s="155">
        <f>Data!G426</f>
        <v>1</v>
      </c>
      <c r="J487" s="155">
        <f>Data!G453</f>
        <v>1</v>
      </c>
      <c r="K487" s="155">
        <f>Data!G480</f>
        <v>1</v>
      </c>
      <c r="L487" s="155"/>
      <c r="M487" s="154" t="s">
        <v>452</v>
      </c>
    </row>
    <row r="488" spans="3:17" s="154" customFormat="1" x14ac:dyDescent="0.2">
      <c r="C488" s="430" t="s">
        <v>451</v>
      </c>
      <c r="D488" s="431"/>
      <c r="E488" s="431"/>
      <c r="F488" s="431"/>
      <c r="G488" s="431"/>
      <c r="H488" s="432"/>
      <c r="I488" s="157" t="str">
        <f>IF(I487=1,"",IF(I487=2,I486*3.785,IF(I487=3,I486,IF(I487=4,I486*60/1000,"error"))))</f>
        <v/>
      </c>
      <c r="J488" s="157" t="str">
        <f>IF(J487=1,"",IF(J487=2,J486*3.785,IF(J487=3,J486,IF(J487=4,J486*60/1000,"error"))))</f>
        <v/>
      </c>
      <c r="K488" s="157" t="str">
        <f>IF(K487=1,"",IF(K487=2,K486*3.785,IF(K487=3,K486,IF(K487=4,K486*60/1000,"error"))))</f>
        <v/>
      </c>
      <c r="L488" s="157"/>
    </row>
    <row r="489" spans="3:17" s="154" customFormat="1" x14ac:dyDescent="0.2">
      <c r="C489" s="156"/>
      <c r="D489" s="156"/>
      <c r="E489" s="156"/>
      <c r="F489" s="156"/>
      <c r="G489" s="156"/>
      <c r="H489" s="156"/>
      <c r="I489" s="159"/>
      <c r="J489" s="159"/>
      <c r="K489" s="159"/>
      <c r="L489" s="159"/>
    </row>
    <row r="490" spans="3:17" s="84" customFormat="1" x14ac:dyDescent="0.2">
      <c r="C490" s="419" t="str">
        <f>Data!D431</f>
        <v>Wetted soil area per emitter:</v>
      </c>
      <c r="D490" s="420"/>
      <c r="E490" s="420"/>
      <c r="F490" s="420"/>
      <c r="G490" s="420"/>
      <c r="H490" s="421"/>
      <c r="I490" s="158">
        <f>Data!E431</f>
        <v>15</v>
      </c>
      <c r="J490" s="158">
        <f>Data!E458</f>
        <v>0</v>
      </c>
      <c r="K490" s="158">
        <f>Data!E485</f>
        <v>0</v>
      </c>
      <c r="L490" s="158" t="str">
        <f>Data!F431</f>
        <v>ft2</v>
      </c>
    </row>
    <row r="491" spans="3:17" s="84" customFormat="1" x14ac:dyDescent="0.2">
      <c r="C491" s="419" t="str">
        <f>Data!D432</f>
        <v>100% Root zone available water holding capacity:</v>
      </c>
      <c r="D491" s="420"/>
      <c r="E491" s="420"/>
      <c r="F491" s="420"/>
      <c r="G491" s="420"/>
      <c r="H491" s="421"/>
      <c r="I491" s="102">
        <f>Data!E432</f>
        <v>8.5</v>
      </c>
      <c r="J491" s="102">
        <f>Data!E459</f>
        <v>0</v>
      </c>
      <c r="K491" s="102">
        <f>Data!E486</f>
        <v>0</v>
      </c>
      <c r="L491" s="102" t="str">
        <f>Data!F432</f>
        <v>inches</v>
      </c>
    </row>
    <row r="492" spans="3:17" s="84" customFormat="1" x14ac:dyDescent="0.2">
      <c r="C492" s="419" t="str">
        <f>Data!D434</f>
        <v>Set duration during peak ET:</v>
      </c>
      <c r="D492" s="420"/>
      <c r="E492" s="420"/>
      <c r="F492" s="420"/>
      <c r="G492" s="420"/>
      <c r="H492" s="421"/>
      <c r="I492" s="102">
        <f>Data!E434</f>
        <v>8</v>
      </c>
      <c r="J492" s="102">
        <f>Data!E461</f>
        <v>0</v>
      </c>
      <c r="K492" s="102">
        <f>Data!E488</f>
        <v>0</v>
      </c>
      <c r="L492" s="102" t="str">
        <f>Data!F434</f>
        <v>hours</v>
      </c>
    </row>
    <row r="493" spans="3:17" x14ac:dyDescent="0.2">
      <c r="C493" s="419" t="str">
        <f>Data!D435</f>
        <v>Irrigation frequency at peak ET:</v>
      </c>
      <c r="D493" s="420"/>
      <c r="E493" s="420"/>
      <c r="F493" s="420"/>
      <c r="G493" s="420"/>
      <c r="H493" s="421"/>
      <c r="I493" s="102">
        <f>Data!E435</f>
        <v>7</v>
      </c>
      <c r="J493" s="102">
        <f>Data!E462</f>
        <v>0</v>
      </c>
      <c r="K493" s="102">
        <f>Data!E489</f>
        <v>0</v>
      </c>
      <c r="L493" s="102" t="str">
        <f>Data!F435</f>
        <v>days</v>
      </c>
      <c r="M493" s="107"/>
      <c r="N493" s="108"/>
      <c r="O493" s="108"/>
      <c r="P493" s="108"/>
      <c r="Q493" s="108"/>
    </row>
    <row r="494" spans="3:17" x14ac:dyDescent="0.2">
      <c r="C494" s="419" t="str">
        <f>Data!D437</f>
        <v>Crop ET during peak ET period:</v>
      </c>
      <c r="D494" s="420"/>
      <c r="E494" s="420"/>
      <c r="F494" s="420"/>
      <c r="G494" s="420"/>
      <c r="H494" s="421"/>
      <c r="I494" s="102">
        <f>Data!E437</f>
        <v>0.2</v>
      </c>
      <c r="J494" s="102">
        <f>Data!E464</f>
        <v>0</v>
      </c>
      <c r="K494" s="102">
        <f>Data!E491</f>
        <v>0</v>
      </c>
      <c r="L494" s="102" t="str">
        <f>Data!F437</f>
        <v>inches/day</v>
      </c>
    </row>
    <row r="495" spans="3:17" s="84" customFormat="1" x14ac:dyDescent="0.2">
      <c r="J495" s="101"/>
      <c r="K495" s="101"/>
    </row>
    <row r="496" spans="3:17" s="84" customFormat="1" x14ac:dyDescent="0.2">
      <c r="C496" s="105"/>
      <c r="D496" s="105"/>
      <c r="E496" s="105"/>
      <c r="F496" s="105"/>
      <c r="G496" s="105"/>
      <c r="H496" s="105"/>
      <c r="I496" s="101"/>
      <c r="J496" s="101"/>
      <c r="K496" s="101"/>
      <c r="L496" s="101"/>
    </row>
    <row r="497" spans="2:14" s="84" customFormat="1" x14ac:dyDescent="0.2">
      <c r="C497" s="425" t="s">
        <v>322</v>
      </c>
      <c r="D497" s="426"/>
      <c r="E497" s="426"/>
      <c r="F497" s="426"/>
      <c r="G497" s="426"/>
      <c r="H497" s="427"/>
      <c r="I497" s="98">
        <f>IF(I483=1,"error",(IF(I483=2,I488,IF(I483=3,I482,"error"))))</f>
        <v>4.0714285714285712</v>
      </c>
      <c r="J497" s="98" t="str">
        <f>IF(J483=1,"error",(IF(J483=2,J488,IF(J483=3,J482,"error"))))</f>
        <v>error</v>
      </c>
      <c r="K497" s="98" t="str">
        <f>IF(K483=1,"error",(IF(K483=2,K488,IF(K483=3,K482,"error"))))</f>
        <v>error</v>
      </c>
      <c r="L497" s="98" t="str">
        <f>L482</f>
        <v>lph</v>
      </c>
      <c r="M497" s="154" t="s">
        <v>8</v>
      </c>
    </row>
    <row r="498" spans="2:14" s="84" customFormat="1" x14ac:dyDescent="0.2">
      <c r="C498" s="105"/>
      <c r="D498" s="105"/>
      <c r="E498" s="105"/>
      <c r="F498" s="105"/>
      <c r="G498" s="105"/>
      <c r="H498" s="105"/>
      <c r="I498" s="101"/>
      <c r="J498" s="101"/>
      <c r="K498" s="101"/>
      <c r="L498" s="101"/>
    </row>
    <row r="499" spans="2:14" s="84" customFormat="1" x14ac:dyDescent="0.2">
      <c r="B499" s="84" t="s">
        <v>320</v>
      </c>
      <c r="C499" s="105"/>
      <c r="D499" s="105"/>
      <c r="E499" s="105"/>
      <c r="F499" s="105"/>
      <c r="G499" s="105"/>
      <c r="H499" s="105"/>
      <c r="I499" s="101"/>
      <c r="J499" s="101"/>
      <c r="K499" s="101"/>
      <c r="L499" s="101"/>
    </row>
    <row r="500" spans="2:14" s="84" customFormat="1" x14ac:dyDescent="0.2">
      <c r="C500" s="84" t="s">
        <v>321</v>
      </c>
      <c r="I500" s="101"/>
      <c r="J500" s="101"/>
      <c r="K500" s="101"/>
      <c r="L500" s="101"/>
    </row>
    <row r="501" spans="2:14" s="84" customFormat="1" x14ac:dyDescent="0.2">
      <c r="C501" s="425" t="s">
        <v>325</v>
      </c>
      <c r="D501" s="426"/>
      <c r="E501" s="426"/>
      <c r="F501" s="426"/>
      <c r="G501" s="426"/>
      <c r="H501" s="427"/>
      <c r="I501" s="103">
        <f>I497*I492*I481/I493</f>
        <v>37.224489795918366</v>
      </c>
      <c r="J501" s="103" t="e">
        <f>J497*J492*J481/J493</f>
        <v>#VALUE!</v>
      </c>
      <c r="K501" s="103" t="e">
        <f>K497*K492*K481/K493</f>
        <v>#VALUE!</v>
      </c>
      <c r="L501" s="98" t="s">
        <v>326</v>
      </c>
    </row>
    <row r="502" spans="2:14" s="84" customFormat="1" x14ac:dyDescent="0.2">
      <c r="C502" s="425" t="s">
        <v>327</v>
      </c>
      <c r="D502" s="426"/>
      <c r="E502" s="426"/>
      <c r="F502" s="426"/>
      <c r="G502" s="426"/>
      <c r="H502" s="427"/>
      <c r="I502" s="103">
        <f>I494*I480*28.317/12</f>
        <v>377.56</v>
      </c>
      <c r="J502" s="103">
        <f>J494*J480*28.317/12</f>
        <v>0</v>
      </c>
      <c r="K502" s="103">
        <f>K494*K480*28.317/12</f>
        <v>0</v>
      </c>
      <c r="L502" s="98" t="s">
        <v>324</v>
      </c>
    </row>
    <row r="503" spans="2:14" s="84" customFormat="1" x14ac:dyDescent="0.2">
      <c r="C503" s="105"/>
      <c r="D503" s="105"/>
      <c r="E503" s="105"/>
      <c r="F503" s="105"/>
      <c r="G503" s="105"/>
      <c r="H503" s="105"/>
      <c r="I503" s="101"/>
      <c r="J503" s="101"/>
      <c r="K503" s="101"/>
      <c r="L503" s="101"/>
    </row>
    <row r="504" spans="2:14" s="84" customFormat="1" x14ac:dyDescent="0.2">
      <c r="C504" s="425" t="s">
        <v>323</v>
      </c>
      <c r="D504" s="426"/>
      <c r="E504" s="426"/>
      <c r="F504" s="426"/>
      <c r="G504" s="426"/>
      <c r="H504" s="427"/>
      <c r="I504" s="98">
        <f>I501/I502</f>
        <v>9.8592249697845025E-2</v>
      </c>
      <c r="J504" s="98" t="e">
        <f>J501/J502</f>
        <v>#VALUE!</v>
      </c>
      <c r="K504" s="98" t="e">
        <f>K501/K502</f>
        <v>#VALUE!</v>
      </c>
      <c r="L504" s="101" t="s">
        <v>328</v>
      </c>
    </row>
    <row r="505" spans="2:14" s="84" customFormat="1" x14ac:dyDescent="0.2">
      <c r="C505" s="425" t="s">
        <v>405</v>
      </c>
      <c r="D505" s="426"/>
      <c r="E505" s="426"/>
      <c r="F505" s="426"/>
      <c r="G505" s="426"/>
      <c r="H505" s="427"/>
      <c r="I505" s="98">
        <f>IF(ISERROR(I504),"",I504)</f>
        <v>9.8592249697845025E-2</v>
      </c>
      <c r="J505" s="98" t="str">
        <f>IF(ISERROR(J504),"",J504)</f>
        <v/>
      </c>
      <c r="K505" s="98" t="str">
        <f>IF(ISERROR(K504),"",K504)</f>
        <v/>
      </c>
      <c r="L505" s="101" t="s">
        <v>328</v>
      </c>
    </row>
    <row r="506" spans="2:14" s="99" customFormat="1" x14ac:dyDescent="0.2">
      <c r="C506" s="105"/>
      <c r="D506" s="105"/>
      <c r="E506" s="105"/>
      <c r="F506" s="105"/>
      <c r="G506" s="105"/>
      <c r="H506" s="105"/>
      <c r="I506" s="101"/>
      <c r="J506" s="101"/>
      <c r="K506" s="101"/>
      <c r="L506" s="101"/>
    </row>
    <row r="507" spans="2:14" s="84" customFormat="1" x14ac:dyDescent="0.2">
      <c r="B507" s="84" t="s">
        <v>329</v>
      </c>
      <c r="C507" s="105"/>
      <c r="D507" s="105"/>
      <c r="E507" s="105"/>
      <c r="F507" s="105"/>
      <c r="G507" s="105"/>
      <c r="H507" s="105"/>
      <c r="I507" s="101"/>
      <c r="J507" s="105"/>
      <c r="K507" s="101"/>
      <c r="L507" s="105"/>
      <c r="N507" s="105"/>
    </row>
    <row r="508" spans="2:14" s="84" customFormat="1" x14ac:dyDescent="0.2">
      <c r="C508" s="425" t="s">
        <v>330</v>
      </c>
      <c r="D508" s="426"/>
      <c r="E508" s="426"/>
      <c r="F508" s="426"/>
      <c r="G508" s="426"/>
      <c r="H508" s="427"/>
      <c r="I508" s="98">
        <f>I505*I479</f>
        <v>2.3169178678993583</v>
      </c>
      <c r="J508" s="98" t="e">
        <f>J505*J479</f>
        <v>#VALUE!</v>
      </c>
      <c r="K508" s="98" t="e">
        <f>K505*K479</f>
        <v>#VALUE!</v>
      </c>
      <c r="L508" s="98" t="s">
        <v>331</v>
      </c>
    </row>
    <row r="509" spans="2:14" s="84" customFormat="1" x14ac:dyDescent="0.2">
      <c r="C509" s="425" t="s">
        <v>407</v>
      </c>
      <c r="D509" s="426"/>
      <c r="E509" s="426"/>
      <c r="F509" s="426"/>
      <c r="G509" s="426"/>
      <c r="H509" s="427"/>
      <c r="I509" s="98">
        <f>IF(ISERROR(I508),0,I508)</f>
        <v>2.3169178678993583</v>
      </c>
      <c r="J509" s="98" t="str">
        <f>IF(ISERROR(J508),"",J508)</f>
        <v/>
      </c>
      <c r="K509" s="98" t="str">
        <f>IF(ISERROR(K508),"",K508)</f>
        <v/>
      </c>
      <c r="L509" s="98" t="s">
        <v>331</v>
      </c>
    </row>
    <row r="510" spans="2:14" s="84" customFormat="1" x14ac:dyDescent="0.2"/>
    <row r="511" spans="2:14" x14ac:dyDescent="0.2">
      <c r="B511" s="90" t="s">
        <v>332</v>
      </c>
      <c r="C511" s="105"/>
      <c r="D511" s="105"/>
      <c r="E511" s="105"/>
      <c r="F511" s="105"/>
      <c r="G511" s="105"/>
      <c r="H511" s="105"/>
      <c r="I511" s="101"/>
    </row>
    <row r="512" spans="2:14" x14ac:dyDescent="0.2">
      <c r="B512" s="90"/>
      <c r="C512" s="99" t="s">
        <v>406</v>
      </c>
    </row>
    <row r="513" spans="1:19" s="99" customFormat="1" x14ac:dyDescent="0.2">
      <c r="B513" s="90"/>
      <c r="C513" s="422" t="s">
        <v>333</v>
      </c>
      <c r="D513" s="423"/>
      <c r="E513" s="423"/>
      <c r="F513" s="423"/>
      <c r="G513" s="423"/>
      <c r="H513" s="424"/>
      <c r="I513" s="128">
        <f>MIN(I505:K505)/((SUM(I509:K509))/SUM(I479:K479))</f>
        <v>0.99999999999999989</v>
      </c>
    </row>
    <row r="514" spans="1:19" s="99" customFormat="1" x14ac:dyDescent="0.2">
      <c r="B514" s="90"/>
      <c r="C514" s="90"/>
      <c r="D514" s="90"/>
      <c r="E514" s="90"/>
      <c r="F514" s="90"/>
      <c r="G514" s="90"/>
      <c r="H514" s="90"/>
      <c r="I514" s="90"/>
    </row>
    <row r="515" spans="1:19" s="99" customFormat="1" x14ac:dyDescent="0.2"/>
    <row r="516" spans="1:19" ht="15.75" x14ac:dyDescent="0.25">
      <c r="A516" s="87">
        <v>5</v>
      </c>
      <c r="B516" s="88" t="s">
        <v>276</v>
      </c>
    </row>
    <row r="521" spans="1:19" x14ac:dyDescent="0.2">
      <c r="B521" s="84" t="s">
        <v>297</v>
      </c>
    </row>
    <row r="523" spans="1:19" x14ac:dyDescent="0.2">
      <c r="C523" s="440" t="str">
        <f>Data!D560</f>
        <v>Time some emitters run after most emitters stop:</v>
      </c>
      <c r="D523" s="441"/>
      <c r="E523" s="441"/>
      <c r="F523" s="441"/>
      <c r="G523" s="441"/>
      <c r="H523" s="442"/>
      <c r="I523" s="102">
        <f>Data!E560</f>
        <v>20</v>
      </c>
      <c r="J523" s="102" t="str">
        <f>Data!F560</f>
        <v>minutes</v>
      </c>
    </row>
    <row r="524" spans="1:19" x14ac:dyDescent="0.2">
      <c r="C524" s="440" t="str">
        <f>Data!D561</f>
        <v>Percentage of emitters that do this:</v>
      </c>
      <c r="D524" s="441"/>
      <c r="E524" s="441"/>
      <c r="F524" s="441"/>
      <c r="G524" s="441"/>
      <c r="H524" s="442"/>
      <c r="I524" s="102">
        <f>Data!E561</f>
        <v>10</v>
      </c>
      <c r="J524" s="102" t="str">
        <f>Data!F561</f>
        <v>%</v>
      </c>
    </row>
    <row r="527" spans="1:19" ht="15.75" customHeight="1" x14ac:dyDescent="0.2">
      <c r="B527" s="84" t="s">
        <v>300</v>
      </c>
    </row>
    <row r="528" spans="1:19" x14ac:dyDescent="0.2">
      <c r="C528" s="440" t="str">
        <f>Data!D412</f>
        <v>AREA NUMBER: 1</v>
      </c>
      <c r="D528" s="441"/>
      <c r="E528" s="441"/>
      <c r="F528" s="441"/>
      <c r="G528" s="441"/>
      <c r="H528" s="441"/>
      <c r="I528" s="441"/>
      <c r="J528" s="442"/>
      <c r="L528" s="90"/>
      <c r="M528" s="90"/>
      <c r="N528" s="90"/>
      <c r="O528" s="90"/>
      <c r="P528" s="90"/>
      <c r="Q528" s="90"/>
      <c r="R528" s="90"/>
      <c r="S528" s="90"/>
    </row>
    <row r="529" spans="2:19" s="84" customFormat="1" x14ac:dyDescent="0.2">
      <c r="C529" s="419" t="str">
        <f>Data!D413</f>
        <v>Area with this combination:</v>
      </c>
      <c r="D529" s="420"/>
      <c r="E529" s="420"/>
      <c r="F529" s="420"/>
      <c r="G529" s="420"/>
      <c r="H529" s="421"/>
      <c r="I529" s="102">
        <f>Data!E413</f>
        <v>23.5</v>
      </c>
      <c r="J529" s="102" t="str">
        <f>Data!F413</f>
        <v>acres</v>
      </c>
      <c r="L529" s="90"/>
      <c r="M529" s="90"/>
      <c r="N529" s="90"/>
      <c r="O529" s="90"/>
      <c r="P529" s="90"/>
      <c r="Q529" s="90"/>
      <c r="R529" s="90"/>
      <c r="S529" s="90"/>
    </row>
    <row r="530" spans="2:19" x14ac:dyDescent="0.2">
      <c r="C530" s="419" t="str">
        <f>Data!D434</f>
        <v>Set duration during peak ET:</v>
      </c>
      <c r="D530" s="420"/>
      <c r="E530" s="420"/>
      <c r="F530" s="420"/>
      <c r="G530" s="420"/>
      <c r="H530" s="421"/>
      <c r="I530" s="102">
        <f>Data!E434</f>
        <v>8</v>
      </c>
      <c r="J530" s="102" t="str">
        <f>Data!F434</f>
        <v>hours</v>
      </c>
    </row>
    <row r="531" spans="2:19" x14ac:dyDescent="0.2">
      <c r="C531" s="416" t="str">
        <f>C530</f>
        <v>Set duration during peak ET:</v>
      </c>
      <c r="D531" s="417"/>
      <c r="E531" s="417"/>
      <c r="F531" s="417"/>
      <c r="G531" s="417"/>
      <c r="H531" s="418"/>
      <c r="I531" s="103">
        <f>I530*60</f>
        <v>480</v>
      </c>
      <c r="J531" s="103" t="s">
        <v>132</v>
      </c>
    </row>
    <row r="532" spans="2:19" s="81" customFormat="1" x14ac:dyDescent="0.2"/>
    <row r="533" spans="2:19" x14ac:dyDescent="0.2">
      <c r="C533" s="440" t="str">
        <f>Data!D439</f>
        <v>AREA NUMBER: 2</v>
      </c>
      <c r="D533" s="441"/>
      <c r="E533" s="441"/>
      <c r="F533" s="441"/>
      <c r="G533" s="441"/>
      <c r="H533" s="441"/>
      <c r="I533" s="441"/>
      <c r="J533" s="442"/>
    </row>
    <row r="534" spans="2:19" s="84" customFormat="1" x14ac:dyDescent="0.2">
      <c r="C534" s="419" t="str">
        <f>Data!D440</f>
        <v>Area with this combination:</v>
      </c>
      <c r="D534" s="420"/>
      <c r="E534" s="420"/>
      <c r="F534" s="420"/>
      <c r="G534" s="420"/>
      <c r="H534" s="421"/>
      <c r="I534" s="102">
        <f>Data!E440</f>
        <v>0</v>
      </c>
      <c r="J534" s="102" t="str">
        <f>Data!F440</f>
        <v>acres</v>
      </c>
    </row>
    <row r="535" spans="2:19" x14ac:dyDescent="0.2">
      <c r="C535" s="419" t="str">
        <f>Data!D461</f>
        <v>Set duration during peak ET:</v>
      </c>
      <c r="D535" s="420"/>
      <c r="E535" s="420"/>
      <c r="F535" s="420"/>
      <c r="G535" s="420"/>
      <c r="H535" s="421"/>
      <c r="I535" s="102">
        <f>Data!E461</f>
        <v>0</v>
      </c>
      <c r="J535" s="102" t="str">
        <f>Data!F461</f>
        <v>hours</v>
      </c>
    </row>
    <row r="536" spans="2:19" x14ac:dyDescent="0.2">
      <c r="C536" s="416" t="str">
        <f>C535</f>
        <v>Set duration during peak ET:</v>
      </c>
      <c r="D536" s="417"/>
      <c r="E536" s="417"/>
      <c r="F536" s="417"/>
      <c r="G536" s="417"/>
      <c r="H536" s="418"/>
      <c r="I536" s="103">
        <f>I535*60</f>
        <v>0</v>
      </c>
      <c r="J536" s="103" t="s">
        <v>132</v>
      </c>
    </row>
    <row r="538" spans="2:19" x14ac:dyDescent="0.2">
      <c r="C538" s="440" t="str">
        <f>Data!D466</f>
        <v>AREA NUMBER: 3</v>
      </c>
      <c r="D538" s="441"/>
      <c r="E538" s="441"/>
      <c r="F538" s="441"/>
      <c r="G538" s="441"/>
      <c r="H538" s="441"/>
      <c r="I538" s="441"/>
      <c r="J538" s="442"/>
    </row>
    <row r="539" spans="2:19" s="84" customFormat="1" x14ac:dyDescent="0.2">
      <c r="C539" s="419" t="str">
        <f>Data!D467</f>
        <v>Area with this combination:</v>
      </c>
      <c r="D539" s="420"/>
      <c r="E539" s="420"/>
      <c r="F539" s="420"/>
      <c r="G539" s="420"/>
      <c r="H539" s="421"/>
      <c r="I539" s="102">
        <f>Data!E467</f>
        <v>0</v>
      </c>
      <c r="J539" s="102" t="str">
        <f>Data!F467</f>
        <v>acres</v>
      </c>
    </row>
    <row r="540" spans="2:19" x14ac:dyDescent="0.2">
      <c r="B540" s="81"/>
      <c r="C540" s="419" t="str">
        <f>Data!D488</f>
        <v>Set duration during peak ET:</v>
      </c>
      <c r="D540" s="420"/>
      <c r="E540" s="420"/>
      <c r="F540" s="420"/>
      <c r="G540" s="420"/>
      <c r="H540" s="421"/>
      <c r="I540" s="102">
        <f>Data!E488</f>
        <v>0</v>
      </c>
      <c r="J540" s="102" t="str">
        <f>Data!F488</f>
        <v>hours</v>
      </c>
    </row>
    <row r="541" spans="2:19" x14ac:dyDescent="0.2">
      <c r="C541" s="416" t="str">
        <f>C540</f>
        <v>Set duration during peak ET:</v>
      </c>
      <c r="D541" s="417"/>
      <c r="E541" s="417"/>
      <c r="F541" s="417"/>
      <c r="G541" s="417"/>
      <c r="H541" s="418"/>
      <c r="I541" s="103">
        <f>I540*60</f>
        <v>0</v>
      </c>
      <c r="J541" s="103" t="s">
        <v>132</v>
      </c>
    </row>
    <row r="543" spans="2:19" s="84" customFormat="1" x14ac:dyDescent="0.2"/>
    <row r="544" spans="2:19" x14ac:dyDescent="0.2">
      <c r="B544" s="84" t="s">
        <v>301</v>
      </c>
    </row>
    <row r="545" spans="1:10" s="84" customFormat="1" x14ac:dyDescent="0.2">
      <c r="C545" s="416" t="str">
        <f>C528</f>
        <v>AREA NUMBER: 1</v>
      </c>
      <c r="D545" s="417"/>
      <c r="E545" s="417"/>
      <c r="F545" s="417"/>
      <c r="G545" s="417"/>
      <c r="H545" s="418"/>
      <c r="I545" s="98">
        <f>I529*I531</f>
        <v>11280</v>
      </c>
      <c r="J545" s="98" t="s">
        <v>303</v>
      </c>
    </row>
    <row r="546" spans="1:10" s="84" customFormat="1" x14ac:dyDescent="0.2">
      <c r="C546" s="416" t="str">
        <f>C533</f>
        <v>AREA NUMBER: 2</v>
      </c>
      <c r="D546" s="417"/>
      <c r="E546" s="417"/>
      <c r="F546" s="417"/>
      <c r="G546" s="417"/>
      <c r="H546" s="418"/>
      <c r="I546" s="98">
        <f>I534*I536</f>
        <v>0</v>
      </c>
      <c r="J546" s="98" t="s">
        <v>303</v>
      </c>
    </row>
    <row r="547" spans="1:10" s="84" customFormat="1" x14ac:dyDescent="0.2">
      <c r="C547" s="416" t="str">
        <f>C538</f>
        <v>AREA NUMBER: 3</v>
      </c>
      <c r="D547" s="417"/>
      <c r="E547" s="417"/>
      <c r="F547" s="417"/>
      <c r="G547" s="417"/>
      <c r="H547" s="418"/>
      <c r="I547" s="98">
        <f>I539*I541</f>
        <v>0</v>
      </c>
      <c r="J547" s="98" t="s">
        <v>303</v>
      </c>
    </row>
    <row r="548" spans="1:10" s="84" customFormat="1" x14ac:dyDescent="0.2"/>
    <row r="549" spans="1:10" s="84" customFormat="1" x14ac:dyDescent="0.2">
      <c r="C549" s="416" t="s">
        <v>304</v>
      </c>
      <c r="D549" s="417"/>
      <c r="E549" s="417"/>
      <c r="F549" s="417"/>
      <c r="G549" s="417"/>
      <c r="H549" s="418"/>
      <c r="I549" s="98">
        <f>SUM(I529,I534,I539)</f>
        <v>23.5</v>
      </c>
      <c r="J549" s="98" t="str">
        <f>J529</f>
        <v>acres</v>
      </c>
    </row>
    <row r="550" spans="1:10" s="84" customFormat="1" x14ac:dyDescent="0.2">
      <c r="C550" s="104"/>
      <c r="D550" s="104"/>
      <c r="E550" s="104"/>
      <c r="F550" s="104"/>
      <c r="G550" s="104"/>
      <c r="H550" s="104"/>
      <c r="I550" s="101"/>
      <c r="J550" s="101"/>
    </row>
    <row r="551" spans="1:10" x14ac:dyDescent="0.2">
      <c r="B551" s="84" t="s">
        <v>305</v>
      </c>
    </row>
    <row r="552" spans="1:10" x14ac:dyDescent="0.2">
      <c r="C552" s="416" t="s">
        <v>302</v>
      </c>
      <c r="D552" s="417"/>
      <c r="E552" s="417"/>
      <c r="F552" s="417"/>
      <c r="G552" s="417"/>
      <c r="H552" s="418"/>
      <c r="I552" s="103">
        <f>SUM(I545:I547)/I549</f>
        <v>480</v>
      </c>
      <c r="J552" s="103" t="s">
        <v>132</v>
      </c>
    </row>
    <row r="554" spans="1:10" ht="30" customHeight="1" x14ac:dyDescent="0.2">
      <c r="B554" s="447" t="s">
        <v>298</v>
      </c>
      <c r="C554" s="448"/>
      <c r="D554" s="448"/>
      <c r="E554" s="448"/>
      <c r="F554" s="449"/>
      <c r="G554" s="129">
        <f>1-((I523/I552)*(I524/100))</f>
        <v>0.99583333333333335</v>
      </c>
    </row>
    <row r="558" spans="1:10" ht="15.75" x14ac:dyDescent="0.25">
      <c r="A558" s="87">
        <v>6</v>
      </c>
      <c r="B558" s="88" t="s">
        <v>408</v>
      </c>
    </row>
    <row r="559" spans="1:10" x14ac:dyDescent="0.2">
      <c r="F559" s="126"/>
      <c r="G559" s="126"/>
    </row>
    <row r="560" spans="1:10" x14ac:dyDescent="0.2">
      <c r="B560" s="124" t="s">
        <v>415</v>
      </c>
      <c r="F560" s="126"/>
      <c r="G560" s="126"/>
    </row>
    <row r="561" spans="2:7" x14ac:dyDescent="0.2">
      <c r="C561" s="124" t="s">
        <v>416</v>
      </c>
      <c r="F561" s="126"/>
      <c r="G561" s="126"/>
    </row>
    <row r="562" spans="2:7" x14ac:dyDescent="0.2">
      <c r="C562" s="124" t="s">
        <v>418</v>
      </c>
      <c r="F562" s="126"/>
      <c r="G562" s="126"/>
    </row>
    <row r="563" spans="2:7" x14ac:dyDescent="0.2">
      <c r="C563" s="124" t="s">
        <v>417</v>
      </c>
      <c r="F563" s="126"/>
      <c r="G563" s="126"/>
    </row>
    <row r="564" spans="2:7" x14ac:dyDescent="0.2">
      <c r="C564" s="124" t="s">
        <v>420</v>
      </c>
    </row>
    <row r="566" spans="2:7" x14ac:dyDescent="0.2">
      <c r="D566" s="126" t="s">
        <v>413</v>
      </c>
      <c r="E566" s="126" t="s">
        <v>414</v>
      </c>
      <c r="G566" s="124" t="s">
        <v>421</v>
      </c>
    </row>
    <row r="567" spans="2:7" x14ac:dyDescent="0.2">
      <c r="B567" s="124" t="s">
        <v>409</v>
      </c>
      <c r="D567" s="135">
        <f>IF(ISERROR(I258),0,I258)</f>
        <v>0.98473494158225339</v>
      </c>
      <c r="E567" s="135">
        <f>1-D567</f>
        <v>1.5265058417746613E-2</v>
      </c>
      <c r="G567" s="136">
        <f>E567/$E$572</f>
        <v>0.35557089846064405</v>
      </c>
    </row>
    <row r="568" spans="2:7" x14ac:dyDescent="0.2">
      <c r="B568" s="124" t="s">
        <v>410</v>
      </c>
      <c r="D568" s="135">
        <f>IF(ISERROR(I389),0,I389)</f>
        <v>0.97650060084496371</v>
      </c>
      <c r="E568" s="135">
        <f>1-D568</f>
        <v>2.3499399155036294E-2</v>
      </c>
      <c r="G568" s="136">
        <f>E568/$E$572</f>
        <v>0.54737441824182687</v>
      </c>
    </row>
    <row r="569" spans="2:7" x14ac:dyDescent="0.2">
      <c r="B569" s="124" t="s">
        <v>411</v>
      </c>
      <c r="D569" s="135">
        <f>IF(ISERROR(I513),0,I513)</f>
        <v>0.99999999999999989</v>
      </c>
      <c r="E569" s="135">
        <f>1-D569</f>
        <v>0</v>
      </c>
      <c r="G569" s="136">
        <f>E569/$E$572</f>
        <v>0</v>
      </c>
    </row>
    <row r="570" spans="2:7" x14ac:dyDescent="0.2">
      <c r="B570" s="124" t="s">
        <v>412</v>
      </c>
      <c r="D570" s="135">
        <f>IF(ISERROR(G554),0,G554)</f>
        <v>0.99583333333333335</v>
      </c>
      <c r="E570" s="135">
        <f>1-D570</f>
        <v>4.1666666666666519E-3</v>
      </c>
      <c r="G570" s="136">
        <f>E570/$E$572</f>
        <v>9.7054683297529101E-2</v>
      </c>
    </row>
    <row r="572" spans="2:7" ht="18" x14ac:dyDescent="0.25">
      <c r="B572" s="138" t="s">
        <v>419</v>
      </c>
      <c r="C572" s="138"/>
      <c r="D572" s="140">
        <f>D570*D569*D568*D567</f>
        <v>0.95758761936923342</v>
      </c>
      <c r="E572" s="139">
        <f>SUM(E567:E570)</f>
        <v>4.2931124239449558E-2</v>
      </c>
      <c r="F572" s="141"/>
      <c r="G572" s="142">
        <f>SUM(G567:G570)</f>
        <v>1</v>
      </c>
    </row>
    <row r="573" spans="2:7" x14ac:dyDescent="0.2">
      <c r="D573" s="137" t="s">
        <v>440</v>
      </c>
    </row>
  </sheetData>
  <mergeCells count="233">
    <mergeCell ref="B164:E166"/>
    <mergeCell ref="H164:K166"/>
    <mergeCell ref="Y60:Y61"/>
    <mergeCell ref="AB60:AB61"/>
    <mergeCell ref="AC60:AC61"/>
    <mergeCell ref="AE60:AH60"/>
    <mergeCell ref="X172:AB172"/>
    <mergeCell ref="AH182:AM182"/>
    <mergeCell ref="C153:H153"/>
    <mergeCell ref="C156:H156"/>
    <mergeCell ref="C157:H157"/>
    <mergeCell ref="C159:H159"/>
    <mergeCell ref="B168:D168"/>
    <mergeCell ref="Q164:AH166"/>
    <mergeCell ref="AF182:AF184"/>
    <mergeCell ref="Q182:V182"/>
    <mergeCell ref="W182:AB182"/>
    <mergeCell ref="AE169:AG169"/>
    <mergeCell ref="AE170:AG170"/>
    <mergeCell ref="AE171:AG171"/>
    <mergeCell ref="AE172:AG172"/>
    <mergeCell ref="AE173:AG173"/>
    <mergeCell ref="AE168:AG168"/>
    <mergeCell ref="H168:J168"/>
    <mergeCell ref="C138:H138"/>
    <mergeCell ref="C140:H140"/>
    <mergeCell ref="C139:H139"/>
    <mergeCell ref="C142:H142"/>
    <mergeCell ref="C152:H152"/>
    <mergeCell ref="C97:D97"/>
    <mergeCell ref="C98:H98"/>
    <mergeCell ref="C99:H99"/>
    <mergeCell ref="F103:H103"/>
    <mergeCell ref="F80:H80"/>
    <mergeCell ref="K69:L69"/>
    <mergeCell ref="M69:N69"/>
    <mergeCell ref="O69:P69"/>
    <mergeCell ref="Q69:R69"/>
    <mergeCell ref="C70:H70"/>
    <mergeCell ref="I70:J70"/>
    <mergeCell ref="K70:L70"/>
    <mergeCell ref="M70:N70"/>
    <mergeCell ref="O70:P70"/>
    <mergeCell ref="Q70:R70"/>
    <mergeCell ref="O66:P66"/>
    <mergeCell ref="Q66:R66"/>
    <mergeCell ref="O63:P63"/>
    <mergeCell ref="Q63:R63"/>
    <mergeCell ref="M64:N64"/>
    <mergeCell ref="O64:P64"/>
    <mergeCell ref="Q64:R64"/>
    <mergeCell ref="C74:D74"/>
    <mergeCell ref="C75:H75"/>
    <mergeCell ref="K66:L66"/>
    <mergeCell ref="M63:N63"/>
    <mergeCell ref="M65:N65"/>
    <mergeCell ref="C69:H69"/>
    <mergeCell ref="C66:H66"/>
    <mergeCell ref="I63:J63"/>
    <mergeCell ref="I64:J64"/>
    <mergeCell ref="I65:J65"/>
    <mergeCell ref="I66:J66"/>
    <mergeCell ref="I69:J69"/>
    <mergeCell ref="M66:N66"/>
    <mergeCell ref="C63:H63"/>
    <mergeCell ref="C64:H64"/>
    <mergeCell ref="C65:H65"/>
    <mergeCell ref="O62:P62"/>
    <mergeCell ref="Q62:R62"/>
    <mergeCell ref="M61:N61"/>
    <mergeCell ref="O61:P61"/>
    <mergeCell ref="Q61:R61"/>
    <mergeCell ref="K63:L63"/>
    <mergeCell ref="K64:L64"/>
    <mergeCell ref="K65:L65"/>
    <mergeCell ref="O65:P65"/>
    <mergeCell ref="Q65:R65"/>
    <mergeCell ref="C40:D40"/>
    <mergeCell ref="C41:D41"/>
    <mergeCell ref="K61:L61"/>
    <mergeCell ref="K62:L62"/>
    <mergeCell ref="M62:N62"/>
    <mergeCell ref="B269:C269"/>
    <mergeCell ref="B270:C270"/>
    <mergeCell ref="B271:C271"/>
    <mergeCell ref="C529:H529"/>
    <mergeCell ref="C485:H485"/>
    <mergeCell ref="C486:H486"/>
    <mergeCell ref="C497:H497"/>
    <mergeCell ref="C490:H490"/>
    <mergeCell ref="C491:H491"/>
    <mergeCell ref="C492:H492"/>
    <mergeCell ref="C493:H493"/>
    <mergeCell ref="B264:C264"/>
    <mergeCell ref="B265:C265"/>
    <mergeCell ref="B266:C266"/>
    <mergeCell ref="B267:C267"/>
    <mergeCell ref="B268:C268"/>
    <mergeCell ref="I61:J61"/>
    <mergeCell ref="I62:J62"/>
    <mergeCell ref="C76:H76"/>
    <mergeCell ref="A1:I1"/>
    <mergeCell ref="J15:K15"/>
    <mergeCell ref="L15:M15"/>
    <mergeCell ref="N15:O15"/>
    <mergeCell ref="P15:Q15"/>
    <mergeCell ref="L4:O4"/>
    <mergeCell ref="L5:O5"/>
    <mergeCell ref="L6:O6"/>
    <mergeCell ref="L3:O3"/>
    <mergeCell ref="B554:F554"/>
    <mergeCell ref="R15:S15"/>
    <mergeCell ref="T15:U15"/>
    <mergeCell ref="I15:I16"/>
    <mergeCell ref="C523:H523"/>
    <mergeCell ref="C524:H524"/>
    <mergeCell ref="B262:D262"/>
    <mergeCell ref="B272:C272"/>
    <mergeCell ref="B273:C273"/>
    <mergeCell ref="B274:C274"/>
    <mergeCell ref="B276:C276"/>
    <mergeCell ref="B278:C278"/>
    <mergeCell ref="B279:C279"/>
    <mergeCell ref="B280:C280"/>
    <mergeCell ref="B263:C263"/>
    <mergeCell ref="C540:H540"/>
    <mergeCell ref="C541:H541"/>
    <mergeCell ref="C552:H552"/>
    <mergeCell ref="C538:J538"/>
    <mergeCell ref="C530:H530"/>
    <mergeCell ref="C531:H531"/>
    <mergeCell ref="C535:H535"/>
    <mergeCell ref="C533:J533"/>
    <mergeCell ref="C534:H534"/>
    <mergeCell ref="A183:A184"/>
    <mergeCell ref="B183:B184"/>
    <mergeCell ref="C539:H539"/>
    <mergeCell ref="C545:H545"/>
    <mergeCell ref="C546:H546"/>
    <mergeCell ref="C547:H547"/>
    <mergeCell ref="C549:H549"/>
    <mergeCell ref="C479:H479"/>
    <mergeCell ref="C480:H480"/>
    <mergeCell ref="C481:H481"/>
    <mergeCell ref="C482:H482"/>
    <mergeCell ref="C536:H536"/>
    <mergeCell ref="C528:J528"/>
    <mergeCell ref="C494:H494"/>
    <mergeCell ref="C483:H483"/>
    <mergeCell ref="C484:H484"/>
    <mergeCell ref="C508:H508"/>
    <mergeCell ref="C513:H513"/>
    <mergeCell ref="C504:H504"/>
    <mergeCell ref="C501:H501"/>
    <mergeCell ref="C502:H502"/>
    <mergeCell ref="F183:F184"/>
    <mergeCell ref="C258:H258"/>
    <mergeCell ref="D297:E297"/>
    <mergeCell ref="B169:D169"/>
    <mergeCell ref="B170:D170"/>
    <mergeCell ref="B171:D171"/>
    <mergeCell ref="B172:D172"/>
    <mergeCell ref="B173:D173"/>
    <mergeCell ref="D183:D184"/>
    <mergeCell ref="H171:J171"/>
    <mergeCell ref="H172:J172"/>
    <mergeCell ref="J181:L182"/>
    <mergeCell ref="H173:J173"/>
    <mergeCell ref="H169:J169"/>
    <mergeCell ref="H170:J170"/>
    <mergeCell ref="C296:G296"/>
    <mergeCell ref="L301:N301"/>
    <mergeCell ref="L302:N302"/>
    <mergeCell ref="N182:N184"/>
    <mergeCell ref="O182:O184"/>
    <mergeCell ref="C256:H256"/>
    <mergeCell ref="C252:H252"/>
    <mergeCell ref="C253:H253"/>
    <mergeCell ref="C254:H254"/>
    <mergeCell ref="L303:N303"/>
    <mergeCell ref="H297:H299"/>
    <mergeCell ref="B298:B299"/>
    <mergeCell ref="I297:I299"/>
    <mergeCell ref="C320:C322"/>
    <mergeCell ref="D321:E321"/>
    <mergeCell ref="F320:F321"/>
    <mergeCell ref="G320:G322"/>
    <mergeCell ref="H320:H322"/>
    <mergeCell ref="B321:B322"/>
    <mergeCell ref="G297:G299"/>
    <mergeCell ref="I320:I322"/>
    <mergeCell ref="C319:G319"/>
    <mergeCell ref="L321:N321"/>
    <mergeCell ref="L322:N322"/>
    <mergeCell ref="D298:E298"/>
    <mergeCell ref="C297:C299"/>
    <mergeCell ref="F297:F298"/>
    <mergeCell ref="L298:N298"/>
    <mergeCell ref="L299:N299"/>
    <mergeCell ref="L300:N300"/>
    <mergeCell ref="L323:N323"/>
    <mergeCell ref="L324:N324"/>
    <mergeCell ref="L325:N325"/>
    <mergeCell ref="L326:N326"/>
    <mergeCell ref="C342:G342"/>
    <mergeCell ref="C343:C345"/>
    <mergeCell ref="F343:F344"/>
    <mergeCell ref="G343:G345"/>
    <mergeCell ref="H343:H345"/>
    <mergeCell ref="I343:I345"/>
    <mergeCell ref="B344:B345"/>
    <mergeCell ref="D344:E344"/>
    <mergeCell ref="C487:H487"/>
    <mergeCell ref="C488:H488"/>
    <mergeCell ref="G393:I393"/>
    <mergeCell ref="L344:N344"/>
    <mergeCell ref="L345:N345"/>
    <mergeCell ref="L346:N346"/>
    <mergeCell ref="L347:N347"/>
    <mergeCell ref="L348:N348"/>
    <mergeCell ref="L349:N349"/>
    <mergeCell ref="C378:H378"/>
    <mergeCell ref="K393:L393"/>
    <mergeCell ref="A395:A410"/>
    <mergeCell ref="A411:A426"/>
    <mergeCell ref="A427:A454"/>
    <mergeCell ref="C379:H379"/>
    <mergeCell ref="C380:H380"/>
    <mergeCell ref="C383:H383"/>
    <mergeCell ref="C386:H386"/>
    <mergeCell ref="C389:H389"/>
    <mergeCell ref="C509:H509"/>
    <mergeCell ref="C505:H505"/>
  </mergeCells>
  <conditionalFormatting sqref="J395:J454">
    <cfRule type="cellIs" dxfId="0" priority="1" stopIfTrue="1" operator="lessThan">
      <formula>$J$456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r:id="rId5">
            <anchor moveWithCells="1">
              <from>
                <xdr:col>1</xdr:col>
                <xdr:colOff>200025</xdr:colOff>
                <xdr:row>516</xdr:row>
                <xdr:rowOff>114300</xdr:rowOff>
              </from>
              <to>
                <xdr:col>14</xdr:col>
                <xdr:colOff>161925</xdr:colOff>
                <xdr:row>519</xdr:row>
                <xdr:rowOff>47625</xdr:rowOff>
              </to>
            </anchor>
          </objectPr>
        </oleObject>
      </mc:Choice>
      <mc:Fallback>
        <oleObject progId="Equation.3" shapeId="2050" r:id="rId4"/>
      </mc:Fallback>
    </mc:AlternateContent>
    <mc:AlternateContent xmlns:mc="http://schemas.openxmlformats.org/markup-compatibility/2006">
      <mc:Choice Requires="x14">
        <oleObject progId="Equation.3" shapeId="2051" r:id="rId6">
          <objectPr defaultSize="0" autoPict="0" r:id="rId7">
            <anchor moveWithCells="1">
              <from>
                <xdr:col>5</xdr:col>
                <xdr:colOff>457200</xdr:colOff>
                <xdr:row>470</xdr:row>
                <xdr:rowOff>133350</xdr:rowOff>
              </from>
              <to>
                <xdr:col>10</xdr:col>
                <xdr:colOff>161925</xdr:colOff>
                <xdr:row>476</xdr:row>
                <xdr:rowOff>104775</xdr:rowOff>
              </to>
            </anchor>
          </objectPr>
        </oleObject>
      </mc:Choice>
      <mc:Fallback>
        <oleObject progId="Equation.3" shapeId="2051" r:id="rId6"/>
      </mc:Fallback>
    </mc:AlternateContent>
    <mc:AlternateContent xmlns:mc="http://schemas.openxmlformats.org/markup-compatibility/2006">
      <mc:Choice Requires="x14">
        <oleObject progId="Equation.3" shapeId="2052" r:id="rId8">
          <objectPr defaultSize="0" autoPict="0" r:id="rId9">
            <anchor moveWithCells="1">
              <from>
                <xdr:col>1</xdr:col>
                <xdr:colOff>247650</xdr:colOff>
                <xdr:row>132</xdr:row>
                <xdr:rowOff>47625</xdr:rowOff>
              </from>
              <to>
                <xdr:col>5</xdr:col>
                <xdr:colOff>238125</xdr:colOff>
                <xdr:row>134</xdr:row>
                <xdr:rowOff>133350</xdr:rowOff>
              </to>
            </anchor>
          </objectPr>
        </oleObject>
      </mc:Choice>
      <mc:Fallback>
        <oleObject progId="Equation.3" shapeId="2052" r:id="rId8"/>
      </mc:Fallback>
    </mc:AlternateContent>
    <mc:AlternateContent xmlns:mc="http://schemas.openxmlformats.org/markup-compatibility/2006">
      <mc:Choice Requires="x14">
        <oleObject progId="Equation.3" shapeId="2053" r:id="rId10">
          <objectPr defaultSize="0" r:id="rId11">
            <anchor moveWithCells="1">
              <from>
                <xdr:col>3</xdr:col>
                <xdr:colOff>266700</xdr:colOff>
                <xdr:row>145</xdr:row>
                <xdr:rowOff>38100</xdr:rowOff>
              </from>
              <to>
                <xdr:col>9</xdr:col>
                <xdr:colOff>390525</xdr:colOff>
                <xdr:row>147</xdr:row>
                <xdr:rowOff>85725</xdr:rowOff>
              </to>
            </anchor>
          </objectPr>
        </oleObject>
      </mc:Choice>
      <mc:Fallback>
        <oleObject progId="Equation.3" shapeId="2053" r:id="rId10"/>
      </mc:Fallback>
    </mc:AlternateContent>
    <mc:AlternateContent xmlns:mc="http://schemas.openxmlformats.org/markup-compatibility/2006">
      <mc:Choice Requires="x14">
        <oleObject progId="Equation.3" shapeId="2054" r:id="rId12">
          <objectPr defaultSize="0" r:id="rId13">
            <anchor moveWithCells="1">
              <from>
                <xdr:col>1</xdr:col>
                <xdr:colOff>247650</xdr:colOff>
                <xdr:row>283</xdr:row>
                <xdr:rowOff>95250</xdr:rowOff>
              </from>
              <to>
                <xdr:col>4</xdr:col>
                <xdr:colOff>257175</xdr:colOff>
                <xdr:row>289</xdr:row>
                <xdr:rowOff>57150</xdr:rowOff>
              </to>
            </anchor>
          </objectPr>
        </oleObject>
      </mc:Choice>
      <mc:Fallback>
        <oleObject progId="Equation.3" shapeId="2054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Data</vt:lpstr>
      <vt:lpstr>Error Check Table-Hidden</vt:lpstr>
      <vt:lpstr>Error Check</vt:lpstr>
      <vt:lpstr>Results-Hidden</vt:lpstr>
      <vt:lpstr>Scheduling-Hidden</vt:lpstr>
      <vt:lpstr>Problems-hidden</vt:lpstr>
      <vt:lpstr>Results,Scheduling,Problems</vt:lpstr>
      <vt:lpstr>Other Computations-Hidden</vt:lpstr>
      <vt:lpstr>DU Computations-Hidden</vt:lpstr>
      <vt:lpstr>Lists-Hidden</vt:lpstr>
      <vt:lpstr>Notes-Hidden</vt:lpstr>
      <vt:lpstr>EmitterPath</vt:lpstr>
      <vt:lpstr>'Lists-Hidden'!EmitterPathType</vt:lpstr>
      <vt:lpstr>EmitterPathType</vt:lpstr>
      <vt:lpstr>ErrorCheckTable</vt:lpstr>
      <vt:lpstr>Field_ID</vt:lpstr>
      <vt:lpstr>Frequency</vt:lpstr>
      <vt:lpstr>Injector</vt:lpstr>
      <vt:lpstr>Data!Print_Area</vt:lpstr>
      <vt:lpstr>'Error Check'!Print_Area</vt:lpstr>
      <vt:lpstr>'Results,Scheduling,Problems'!Print_Area</vt:lpstr>
      <vt:lpstr>ProblemsTable</vt:lpstr>
      <vt:lpstr>Results</vt:lpstr>
      <vt:lpstr>ResultsTable</vt:lpstr>
      <vt:lpstr>Scale</vt:lpstr>
      <vt:lpstr>Table1</vt:lpstr>
      <vt:lpstr>Test</vt:lpstr>
      <vt:lpstr>UnitsNominalFlow</vt:lpstr>
      <vt:lpstr>WaterSource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Drip and Microirrigation Distribution Uniformity Evaluation</dc:title>
  <dc:creator>Irrigation Training &amp; Research Center</dc:creator>
  <cp:lastModifiedBy>Abdelmoneim Mohamed</cp:lastModifiedBy>
  <cp:lastPrinted>2014-11-12T19:39:37Z</cp:lastPrinted>
  <dcterms:created xsi:type="dcterms:W3CDTF">2009-07-20T18:00:21Z</dcterms:created>
  <dcterms:modified xsi:type="dcterms:W3CDTF">2017-06-22T22:32:19Z</dcterms:modified>
  <cp:contentStatus>in progress</cp:contentStatus>
</cp:coreProperties>
</file>